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L:\04_Internet\social media\4_projekt igromo\13-kühlkosten blitzrechner\"/>
    </mc:Choice>
  </mc:AlternateContent>
  <xr:revisionPtr revIDLastSave="0" documentId="13_ncr:1_{DD7DEF58-E93A-4116-9F74-5F8E0F53CF55}" xr6:coauthVersionLast="47" xr6:coauthVersionMax="47" xr10:uidLastSave="{00000000-0000-0000-0000-000000000000}"/>
  <workbookProtection workbookAlgorithmName="SHA-512" workbookHashValue="pSRe5AR04LXoDFNdWECYN2cg7XtZaWdhTbhxG/kRjWkW494Y358aXjegDuPDZm/vL1w+rCFRXq+hti3DCdnDrA==" workbookSaltValue="iwaV0XvGM5zIgxqTDoAtXg==" workbookSpinCount="100000" lockStructure="1"/>
  <bookViews>
    <workbookView xWindow="-120" yWindow="-120" windowWidth="29040" windowHeight="15720" xr2:uid="{00000000-000D-0000-FFFF-FFFF00000000}"/>
  </bookViews>
  <sheets>
    <sheet name="Berechnung" sheetId="5" r:id="rId1"/>
    <sheet name="Do not change this Data" sheetId="7"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 i="5" l="1"/>
  <c r="C35" i="7"/>
  <c r="C70" i="7"/>
  <c r="C59" i="7"/>
  <c r="B137" i="7"/>
  <c r="B126" i="7"/>
  <c r="B127" i="7" s="1"/>
  <c r="B121" i="7"/>
  <c r="B118" i="7"/>
  <c r="B115" i="7"/>
  <c r="E97" i="7" s="1"/>
  <c r="E113" i="7" s="1"/>
  <c r="D98" i="7"/>
  <c r="D97" i="7"/>
  <c r="D96" i="7"/>
  <c r="B31" i="7"/>
  <c r="C31" i="7" s="1"/>
  <c r="C73" i="7" l="1"/>
  <c r="C78" i="7" s="1"/>
  <c r="C64" i="7"/>
  <c r="C67" i="7" s="1"/>
  <c r="E98" i="7"/>
  <c r="E118" i="7" s="1"/>
  <c r="E95" i="7"/>
  <c r="E96" i="7"/>
  <c r="D31" i="7"/>
  <c r="F31" i="7"/>
  <c r="C74" i="7" l="1"/>
  <c r="C86" i="7" s="1"/>
  <c r="C42" i="7"/>
  <c r="E108" i="7"/>
  <c r="B113" i="7"/>
  <c r="E103" i="7"/>
  <c r="E31" i="7"/>
  <c r="G31" i="7" s="1"/>
  <c r="C43" i="7" l="1"/>
  <c r="C87" i="7"/>
  <c r="C47" i="7" s="1"/>
  <c r="C46" i="7"/>
  <c r="C71" i="7" l="1"/>
  <c r="C75" i="7" s="1"/>
  <c r="C44" i="7" s="1"/>
  <c r="C45" i="7" s="1"/>
  <c r="C80" i="7"/>
  <c r="C79" i="7"/>
  <c r="C65" i="7"/>
  <c r="C68" i="7" s="1"/>
  <c r="C69" i="7" l="1"/>
  <c r="C90" i="7" s="1"/>
  <c r="C50" i="7" s="1"/>
  <c r="C88" i="7"/>
  <c r="C48" i="7" s="1"/>
  <c r="C89" i="7"/>
  <c r="C49" i="7" s="1"/>
  <c r="B107" i="7" l="1"/>
  <c r="C15" i="5"/>
  <c r="E119" i="7" l="1"/>
  <c r="E120" i="7" s="1"/>
  <c r="E109" i="7"/>
  <c r="E110" i="7" s="1"/>
  <c r="B109" i="7"/>
  <c r="E114" i="7"/>
  <c r="E115" i="7" s="1"/>
  <c r="B108" i="7"/>
  <c r="C19" i="5" s="1"/>
  <c r="E104" i="7"/>
  <c r="E105" i="7" s="1"/>
  <c r="B129" i="7" l="1"/>
  <c r="B134" i="7" s="1"/>
  <c r="B141" i="7" s="1"/>
  <c r="C21" i="5"/>
  <c r="I21" i="5" s="1"/>
  <c r="I18" i="5" s="1"/>
  <c r="C18" i="5"/>
  <c r="B110" i="7"/>
  <c r="E116" i="7"/>
  <c r="E121" i="7"/>
  <c r="E111" i="7"/>
  <c r="E106" i="7"/>
  <c r="C24" i="5" l="1"/>
  <c r="B123" i="7"/>
  <c r="B124" i="7" s="1"/>
  <c r="B143" i="7" s="1"/>
  <c r="B145" i="7" s="1"/>
</calcChain>
</file>

<file path=xl/sharedStrings.xml><?xml version="1.0" encoding="utf-8"?>
<sst xmlns="http://schemas.openxmlformats.org/spreadsheetml/2006/main" count="285" uniqueCount="174">
  <si>
    <r>
      <rPr>
        <b/>
        <sz val="11"/>
        <color theme="1" tint="0.499984740745262"/>
        <rFont val="Arial Nova"/>
        <family val="2"/>
      </rPr>
      <t xml:space="preserve">Befeuchtungsmenge: </t>
    </r>
    <r>
      <rPr>
        <sz val="11"/>
        <color theme="1" tint="0.499984740745262"/>
        <rFont val="Arial Nova"/>
        <family val="2"/>
      </rPr>
      <t xml:space="preserve">
</t>
    </r>
  </si>
  <si>
    <t>Je Grad Celsius mehr = +0,1g Befeuchtungsmenge</t>
  </si>
  <si>
    <t>[°C]</t>
  </si>
  <si>
    <t>[g]</t>
  </si>
  <si>
    <t>BUDGETBEDARF für MERLIN-ANLAGE</t>
  </si>
  <si>
    <t>Liter</t>
  </si>
  <si>
    <t>Multiplikator
bis 100 Liter</t>
  </si>
  <si>
    <t>Zusatzmulitplikatator auf mehr als 100 Liter</t>
  </si>
  <si>
    <t>Differenz auf 100 Liter</t>
  </si>
  <si>
    <t>Differenz zu Bedarf/Liter</t>
  </si>
  <si>
    <t>Betrag für Mulitplikator 100 Liter</t>
  </si>
  <si>
    <t>BUDGETBEDARF für Merlin-Anlage
(geschätzer Richtpreis, exkl. MwSt)</t>
  </si>
  <si>
    <t>bis 100l/h - 600€/l</t>
  </si>
  <si>
    <t>ab 100 l/h - jeder weitere Liter 200 €</t>
  </si>
  <si>
    <t>Energieverbrauch Wasseraufbereitung &amp; Pumpstation</t>
  </si>
  <si>
    <t>[W/l]</t>
  </si>
  <si>
    <t>Basisdaten</t>
  </si>
  <si>
    <t>Hallen LÄNGE</t>
  </si>
  <si>
    <t>L</t>
  </si>
  <si>
    <t>[m]</t>
  </si>
  <si>
    <t>Eingabefeld bitte ausfüllen</t>
  </si>
  <si>
    <t>Hallen BREITE</t>
  </si>
  <si>
    <t>B</t>
  </si>
  <si>
    <t>Hallen HÖHE</t>
  </si>
  <si>
    <t>H</t>
  </si>
  <si>
    <t>T1</t>
  </si>
  <si>
    <t>Wasserkosten</t>
  </si>
  <si>
    <t>[€/m³]</t>
  </si>
  <si>
    <t>Durschnittspreis - bei Bedarf anpassen</t>
  </si>
  <si>
    <t>Stromkosten</t>
  </si>
  <si>
    <t>[€/kW]</t>
  </si>
  <si>
    <t>Hallenvolumen</t>
  </si>
  <si>
    <t>V</t>
  </si>
  <si>
    <t>[m³]</t>
  </si>
  <si>
    <t>Aufstellhöhe (m.ü.N.N)</t>
  </si>
  <si>
    <t>Abkühlung am Arbeitsplatz*</t>
  </si>
  <si>
    <t>∆T</t>
  </si>
  <si>
    <t xml:space="preserve">  4-9</t>
  </si>
  <si>
    <t>Feuchtegehalt Eintritt - IST Feuchte</t>
  </si>
  <si>
    <t>rf 1</t>
  </si>
  <si>
    <t>[%]</t>
  </si>
  <si>
    <t>Befeuchtungsmenge</t>
  </si>
  <si>
    <t>∆x</t>
  </si>
  <si>
    <t>[gr/kg]</t>
  </si>
  <si>
    <t>Frischluftanteil</t>
  </si>
  <si>
    <t>FA</t>
  </si>
  <si>
    <t xml:space="preserve">Frischluft - Feuchtegehalt </t>
  </si>
  <si>
    <t>x1 (T1)</t>
  </si>
  <si>
    <t>[g/kg]</t>
  </si>
  <si>
    <t>Feuchtegehalt nach Kühlen</t>
  </si>
  <si>
    <t>x2 (T2)</t>
  </si>
  <si>
    <t>rf 2</t>
  </si>
  <si>
    <t>Feuchtegehalt nach Kühlen (max. 95 % rF)</t>
  </si>
  <si>
    <t>Temperatur nach Kühlen</t>
  </si>
  <si>
    <t>T2</t>
  </si>
  <si>
    <t>Abkühlung</t>
  </si>
  <si>
    <t>[K]</t>
  </si>
  <si>
    <t>Wasserbedarf Kühlen</t>
  </si>
  <si>
    <t>PH</t>
  </si>
  <si>
    <t>[kg/h = l/h]</t>
  </si>
  <si>
    <t>Kühlleistung</t>
  </si>
  <si>
    <t>PK</t>
  </si>
  <si>
    <t>[kW]</t>
  </si>
  <si>
    <r>
      <t>Wasserbedarf mit merlin</t>
    </r>
    <r>
      <rPr>
        <sz val="10"/>
        <color theme="0"/>
        <rFont val="Calibri"/>
        <family val="2"/>
      </rPr>
      <t>®</t>
    </r>
  </si>
  <si>
    <r>
      <t>P</t>
    </r>
    <r>
      <rPr>
        <sz val="10"/>
        <color rgb="FF000000"/>
        <rFont val="Arial Nova"/>
        <family val="2"/>
      </rPr>
      <t>H</t>
    </r>
  </si>
  <si>
    <t>[kg/h=l/h]</t>
  </si>
  <si>
    <t>Reserve Befeuchterleistung</t>
  </si>
  <si>
    <t>GESAMT Wasserbedarf Befeuchten</t>
  </si>
  <si>
    <t>Kühlen</t>
  </si>
  <si>
    <t>Gas- Luftdruck in Abhängigkeit der Aufstellungshöhe</t>
  </si>
  <si>
    <t>p(H)</t>
  </si>
  <si>
    <t>mbar</t>
  </si>
  <si>
    <t>Gas- Luftkonstante R trockene Luft</t>
  </si>
  <si>
    <r>
      <t>R</t>
    </r>
    <r>
      <rPr>
        <i/>
        <sz val="6"/>
        <color theme="0" tint="-0.499984740745262"/>
        <rFont val="HelveticaNeueLT W1G 55 Roman"/>
        <family val="2"/>
      </rPr>
      <t>G</t>
    </r>
  </si>
  <si>
    <t>[J/kg K]</t>
  </si>
  <si>
    <t>Gas- Luftkonstante R Dampf</t>
  </si>
  <si>
    <r>
      <t>R</t>
    </r>
    <r>
      <rPr>
        <i/>
        <sz val="6"/>
        <color theme="0" tint="-0.499984740745262"/>
        <rFont val="HelveticaNeueLT W1G 55 Roman"/>
        <family val="2"/>
      </rPr>
      <t>D</t>
    </r>
  </si>
  <si>
    <t>Gas- Luftdichte f(Aufstellungshöhe)</t>
  </si>
  <si>
    <r>
      <t>ρ</t>
    </r>
    <r>
      <rPr>
        <i/>
        <sz val="6"/>
        <color theme="0" tint="-0.499984740745262"/>
        <rFont val="HelveticaNeueLT W1G 55 Roman"/>
        <family val="2"/>
      </rPr>
      <t>G</t>
    </r>
    <r>
      <rPr>
        <i/>
        <sz val="10"/>
        <color theme="0" tint="-0.499984740745262"/>
        <rFont val="HelveticaNeueLT W1G 55 Roman"/>
        <family val="2"/>
      </rPr>
      <t>(T1)</t>
    </r>
  </si>
  <si>
    <t>[kg/m³]</t>
  </si>
  <si>
    <r>
      <t>ρ</t>
    </r>
    <r>
      <rPr>
        <i/>
        <sz val="6"/>
        <color theme="0" tint="-0.499984740745262"/>
        <rFont val="HelveticaNeueLT W1G 55 Roman"/>
        <family val="2"/>
      </rPr>
      <t>G</t>
    </r>
    <r>
      <rPr>
        <i/>
        <sz val="10"/>
        <color theme="0" tint="-0.499984740745262"/>
        <rFont val="HelveticaNeueLT W1G 55 Roman"/>
        <family val="2"/>
      </rPr>
      <t>(T2)</t>
    </r>
  </si>
  <si>
    <t>Masse der Förderluft</t>
  </si>
  <si>
    <r>
      <t>m</t>
    </r>
    <r>
      <rPr>
        <i/>
        <sz val="6"/>
        <color theme="0" tint="-0.499984740745262"/>
        <rFont val="HelveticaNeueLT W1G 55 Roman"/>
        <family val="2"/>
      </rPr>
      <t>L</t>
    </r>
    <r>
      <rPr>
        <i/>
        <sz val="10"/>
        <color theme="0" tint="-0.499984740745262"/>
        <rFont val="HelveticaNeueLT W1G 55 Roman"/>
        <family val="2"/>
      </rPr>
      <t>(T1)</t>
    </r>
  </si>
  <si>
    <t>[kg/h]</t>
  </si>
  <si>
    <r>
      <t>m</t>
    </r>
    <r>
      <rPr>
        <i/>
        <sz val="6"/>
        <color theme="0" tint="-0.499984740745262"/>
        <rFont val="HelveticaNeueLT W1G 55 Roman"/>
        <family val="2"/>
      </rPr>
      <t>L</t>
    </r>
    <r>
      <rPr>
        <i/>
        <sz val="10"/>
        <color theme="0" tint="-0.499984740745262"/>
        <rFont val="HelveticaNeueLT W1G 55 Roman"/>
        <family val="2"/>
      </rPr>
      <t>(T2)</t>
    </r>
  </si>
  <si>
    <t>Masse der Förderluft FS mit Korrekturfaktor</t>
  </si>
  <si>
    <t>Sättigungsdruck</t>
  </si>
  <si>
    <t>ps 1 (T1)</t>
  </si>
  <si>
    <t>[mbar]</t>
  </si>
  <si>
    <t>ps 2 (T2)</t>
  </si>
  <si>
    <t>Feuchtegehalt</t>
  </si>
  <si>
    <t>[kg/kg]</t>
  </si>
  <si>
    <t>Enthalpie</t>
  </si>
  <si>
    <t>h1 (T1)</t>
  </si>
  <si>
    <t>[KJ/kg]</t>
  </si>
  <si>
    <t>h2 (T2)</t>
  </si>
  <si>
    <t>Enthalpie Kühlen durch befeuchten</t>
  </si>
  <si>
    <t>h4</t>
  </si>
  <si>
    <t>Enthalpie Wasser</t>
  </si>
  <si>
    <t>h5</t>
  </si>
  <si>
    <t>Kühlen Abluft (T2)</t>
  </si>
  <si>
    <r>
      <t>P</t>
    </r>
    <r>
      <rPr>
        <i/>
        <sz val="10"/>
        <color theme="0" tint="-0.499984740745262"/>
        <rFont val="Arial Nova"/>
        <family val="2"/>
      </rPr>
      <t>H</t>
    </r>
  </si>
  <si>
    <r>
      <t>P</t>
    </r>
    <r>
      <rPr>
        <i/>
        <sz val="10"/>
        <color theme="0" tint="-0.499984740745262"/>
        <rFont val="Arial Nova"/>
        <family val="2"/>
      </rPr>
      <t>K</t>
    </r>
  </si>
  <si>
    <r>
      <t>P</t>
    </r>
    <r>
      <rPr>
        <i/>
        <sz val="8"/>
        <color theme="0" tint="-0.499984740745262"/>
        <rFont val="Arial Nova"/>
        <family val="2"/>
      </rPr>
      <t>H</t>
    </r>
  </si>
  <si>
    <t>Eingabefelder</t>
  </si>
  <si>
    <t>Laufzeit der Sprühzyklen</t>
  </si>
  <si>
    <t>Frühjahr / Auslastung / Stunde / %</t>
  </si>
  <si>
    <t>Laufzeit in h</t>
  </si>
  <si>
    <t>Sommer / Auslastung / Stunde / %</t>
  </si>
  <si>
    <t>Herbst / Auslastung / Stunde / %</t>
  </si>
  <si>
    <t>Winter / Auslastung / Stunde / %</t>
  </si>
  <si>
    <t>Stromkosten €/kwh</t>
  </si>
  <si>
    <t>Wasserkosten €/m³</t>
  </si>
  <si>
    <t xml:space="preserve">Auslastung - Literleistung - </t>
  </si>
  <si>
    <t>Abwasserkosten €/m³</t>
  </si>
  <si>
    <t>Stromverbrauch/ Anlage</t>
  </si>
  <si>
    <t>Salzkosten €/kg</t>
  </si>
  <si>
    <t>Frühjahr</t>
  </si>
  <si>
    <t>Rohwasserhärte [°dH]</t>
  </si>
  <si>
    <t>Stunden / Saison</t>
  </si>
  <si>
    <t>Verschnitthärte [°dH]</t>
  </si>
  <si>
    <t>Wasserverbrauch / Saison / Liter</t>
  </si>
  <si>
    <t>Wasserverbrauch / Saison / M³</t>
  </si>
  <si>
    <t>Berechnungsgrundlagen</t>
  </si>
  <si>
    <t>Stromverbrauch / Saison / kWh</t>
  </si>
  <si>
    <t>Sprühleistung  l / Std</t>
  </si>
  <si>
    <t>Sommer</t>
  </si>
  <si>
    <t>Wasserverbrauch / Jahr / Liter</t>
  </si>
  <si>
    <t>Motor Pumpstation / KW / Std ca. 30 % Ausl.</t>
  </si>
  <si>
    <t>Stromverbrauch Pumpe / kWh / Jahr</t>
  </si>
  <si>
    <t>Herbst</t>
  </si>
  <si>
    <t>Betriebsstunden / Jahr</t>
  </si>
  <si>
    <t>Tage / Jahr</t>
  </si>
  <si>
    <t>Stunden / Jahr</t>
  </si>
  <si>
    <t xml:space="preserve">Stromverbrauch Enthärtungsanlage kw/Jahr </t>
  </si>
  <si>
    <t>Winter</t>
  </si>
  <si>
    <t xml:space="preserve">Stromkosten Enthärtungsanlage / Jahr </t>
  </si>
  <si>
    <t xml:space="preserve">Stromverbrauch Osmose (1,5 kW/m³ Permeat)  kwh/Jahr </t>
  </si>
  <si>
    <t xml:space="preserve">Stromkosten Umkehrosmose / Jahr </t>
  </si>
  <si>
    <t xml:space="preserve">Stromverbrauch Pumpstation kw/Jahr </t>
  </si>
  <si>
    <t>Stromkosten Pumpstation / Jahr</t>
  </si>
  <si>
    <t>Wasser- + Abwasserkosten [EUR/m³]</t>
  </si>
  <si>
    <t>Stromkosten [EUR/kWh]</t>
  </si>
  <si>
    <t>Stromverbrauch Ventilatoren kw/Jahr</t>
  </si>
  <si>
    <t>Stromkosten Ventilatoren / Jahr</t>
  </si>
  <si>
    <t>Wasserverbrauch / m³/Jahr</t>
  </si>
  <si>
    <t xml:space="preserve">Wasserverbrauch Abwasser Enthärtungsanlage </t>
  </si>
  <si>
    <t>m³ / Jahr</t>
  </si>
  <si>
    <t>Wasserverbrauch Osmose / m³/Jahr</t>
  </si>
  <si>
    <t>(Konzentrat-Abwasser Osmose m³/Jahr)</t>
  </si>
  <si>
    <t>Wasserkosten / Jahr / EUR</t>
  </si>
  <si>
    <t>Salzverbrauch Enthärtungsanlage / kg/Jahr</t>
  </si>
  <si>
    <t xml:space="preserve">Kosten Salzverbrauch Enthärtung / Jahr </t>
  </si>
  <si>
    <t>Energiekosten / Jahr / EUR</t>
  </si>
  <si>
    <t>GESAMTKOSTEN / JAHR / EUR</t>
  </si>
  <si>
    <t>pro Jahr</t>
  </si>
  <si>
    <t>vs.</t>
  </si>
  <si>
    <t>Wasser-Jahresbedarf</t>
  </si>
  <si>
    <t>[l/a]</t>
  </si>
  <si>
    <t>Energieverbrauch</t>
  </si>
  <si>
    <t>[kW/a]</t>
  </si>
  <si>
    <t>Klimaanlage - Energiebedarf (1:3)</t>
  </si>
  <si>
    <t>Bedarf INVESTMENT** in Klimaanlage konventionell</t>
  </si>
  <si>
    <r>
      <t>merlin</t>
    </r>
    <r>
      <rPr>
        <vertAlign val="superscript"/>
        <sz val="16"/>
        <color rgb="FF706F6F"/>
        <rFont val="HelveticaNeueLT Pro 53 Ex"/>
        <family val="2"/>
      </rPr>
      <t>®</t>
    </r>
    <r>
      <rPr>
        <sz val="16"/>
        <color rgb="FF706F6F"/>
        <rFont val="HelveticaNeueLT Pro 53 Ex"/>
        <family val="2"/>
      </rPr>
      <t xml:space="preserve"> adiabate Kühlung vs. konventionelle Klimaanlage mit Kältemittel</t>
    </r>
  </si>
  <si>
    <r>
      <t xml:space="preserve">Aktuelle Hallentemeratur IST 
</t>
    </r>
    <r>
      <rPr>
        <sz val="9"/>
        <color rgb="FF706F6F"/>
        <rFont val="HelveticaNeueLT Pro 55 Roman"/>
        <family val="2"/>
      </rPr>
      <t>(Eingabe ohne Kommastelle gerundet; max. 40 °C)</t>
    </r>
  </si>
  <si>
    <t>Betriebskosten Klimaanlage konventionell</t>
  </si>
  <si>
    <t>einmalig</t>
  </si>
  <si>
    <r>
      <t>KÜHLEN mit merlin</t>
    </r>
    <r>
      <rPr>
        <vertAlign val="superscript"/>
        <sz val="16"/>
        <color theme="0"/>
        <rFont val="HelveticaNeueLT Pro 53 Ex"/>
        <family val="2"/>
      </rPr>
      <t>®</t>
    </r>
  </si>
  <si>
    <r>
      <t>Betriebskosten* mit merlin</t>
    </r>
    <r>
      <rPr>
        <vertAlign val="superscript"/>
        <sz val="16"/>
        <color theme="0"/>
        <rFont val="HelveticaNeueLT Pro 53 Ex"/>
        <family val="2"/>
      </rPr>
      <t>®</t>
    </r>
    <r>
      <rPr>
        <b/>
        <sz val="11"/>
        <color theme="0"/>
        <rFont val="Arial Nova"/>
        <family val="2"/>
      </rPr>
      <t xml:space="preserve"> adiabate Kühlung</t>
    </r>
  </si>
  <si>
    <r>
      <t>Bedarf INVESTMENT* in merlin</t>
    </r>
    <r>
      <rPr>
        <vertAlign val="superscript"/>
        <sz val="16"/>
        <color theme="0"/>
        <rFont val="HelveticaNeueLT Pro 53 Ex"/>
        <family val="2"/>
      </rPr>
      <t>®</t>
    </r>
    <r>
      <rPr>
        <b/>
        <sz val="11"/>
        <color theme="0"/>
        <rFont val="Arial Nova"/>
        <family val="2"/>
      </rPr>
      <t xml:space="preserve"> Anlage</t>
    </r>
  </si>
  <si>
    <t>** Je nach Bauart ist die Investition um bis zu 700 % höher im Vergleich zu einer adiabaten Kühlung.</t>
  </si>
  <si>
    <r>
      <t>ERSPARNIS: Betriebskosten* mit merlin</t>
    </r>
    <r>
      <rPr>
        <vertAlign val="superscript"/>
        <sz val="15"/>
        <color theme="0"/>
        <rFont val="HelveticaNeueLT Pro 53 Ex"/>
        <family val="2"/>
      </rPr>
      <t>®</t>
    </r>
    <r>
      <rPr>
        <sz val="15"/>
        <color theme="0"/>
        <rFont val="HelveticaNeueLT Pro 53 Ex"/>
        <family val="2"/>
      </rPr>
      <t xml:space="preserve"> 
bis zu</t>
    </r>
  </si>
  <si>
    <t>*Die bereitgestellten Informationen basieren auf Schätzwerten und dienen nur zur allgemeinen Orientierung. Es ist zu beachten, dass die Daten der Berechnung aufgrund regionaler und saisonaler Schwankungen variieren können. Diese Abweichungen können durch eine Reihe von Faktoren beeinflusst werden, einschließlich, aber nicht beschränkt auf, Isolierung, Fensterflächen, Sonneneinstrahlung, Wärmequellen wie Maschinen und weitere bauliche Besonderheiten. Für die errechneten Werte können wir aus diesem Grund weder eine Garantie übernehmen noch eine Beschaffenheitszusage abgeben.
Die Merlin Technology GmbH kann daher keine Haftung für die tatsächlicher Erreichbarkeit der vom Rechner ausgeworfenen Werte übernehmen. (Stand 27.05.2024)</t>
  </si>
  <si>
    <t>Kühlkosten Blitzrechner: Punktuelle Arbeitsplatzkühlung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</si>
</sst>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43" formatCode="_-* #,##0.00_-;\-* #,##0.00_-;_-* &quot;-&quot;??_-;_-@_-"/>
    <numFmt numFmtId="164" formatCode="#,##0\ &quot;€&quot;"/>
    <numFmt numFmtId="165" formatCode="0.0"/>
    <numFmt numFmtId="166" formatCode="_-&quot;€&quot;\ * #,##0.00_-;\-&quot;€&quot;\ * #,##0.00_-;_-&quot;€&quot;\ * &quot;-&quot;??_-;_-@_-"/>
    <numFmt numFmtId="167" formatCode="_-* #,##0_-;\-* #,##0_-;_-* &quot;-&quot;??_-;_-@_-"/>
    <numFmt numFmtId="168" formatCode="_-* #,##0\ &quot;€&quot;_-;\-* #,##0\ &quot;€&quot;_-;_-* &quot;-&quot;??\ &quot;€&quot;_-;_-@_-"/>
  </numFmts>
  <fonts count="51" x14ac:knownFonts="1">
    <font>
      <sz val="11"/>
      <color theme="1"/>
      <name val="Calibri"/>
      <family val="2"/>
      <scheme val="minor"/>
    </font>
    <font>
      <sz val="11"/>
      <color theme="1"/>
      <name val="HelveticaNeueLT Pro 55 Roman"/>
      <family val="2"/>
    </font>
    <font>
      <sz val="8"/>
      <name val="HelveticaNeueLT Pro 55 Roman"/>
      <family val="2"/>
    </font>
    <font>
      <sz val="16"/>
      <color theme="0"/>
      <name val="HelveticaNeueLT Pro 53 Ex"/>
      <family val="2"/>
    </font>
    <font>
      <sz val="16"/>
      <color rgb="FF706F6F"/>
      <name val="HelveticaNeueLT Pro 53 Ex"/>
      <family val="2"/>
    </font>
    <font>
      <sz val="22"/>
      <color rgb="FF1F2662"/>
      <name val="HelveticaNeueLT Pro 53 Ex"/>
      <family val="2"/>
    </font>
    <font>
      <sz val="11"/>
      <color theme="1"/>
      <name val="Calibri"/>
      <family val="2"/>
      <scheme val="minor"/>
    </font>
    <font>
      <b/>
      <sz val="11"/>
      <color theme="1"/>
      <name val="Calibri"/>
      <family val="2"/>
      <scheme val="minor"/>
    </font>
    <font>
      <sz val="11"/>
      <color theme="1" tint="0.499984740745262"/>
      <name val="Arial Nova"/>
      <family val="2"/>
    </font>
    <font>
      <b/>
      <sz val="11"/>
      <color theme="1" tint="0.499984740745262"/>
      <name val="Arial Nova"/>
      <family val="2"/>
    </font>
    <font>
      <sz val="11"/>
      <color theme="1" tint="0.499984740745262"/>
      <name val="Calibri"/>
      <family val="2"/>
      <scheme val="minor"/>
    </font>
    <font>
      <b/>
      <sz val="11"/>
      <color theme="1" tint="0.499984740745262"/>
      <name val="Calibri"/>
      <family val="2"/>
      <scheme val="minor"/>
    </font>
    <font>
      <sz val="10"/>
      <color theme="0" tint="-0.499984740745262"/>
      <name val="Arial Nova"/>
      <family val="2"/>
    </font>
    <font>
      <b/>
      <sz val="11"/>
      <color theme="0"/>
      <name val="Arial Nova"/>
      <family val="2"/>
    </font>
    <font>
      <sz val="11"/>
      <color indexed="8"/>
      <name val="HelveticaNeueLT W1G 55 Roman"/>
      <family val="2"/>
    </font>
    <font>
      <sz val="11"/>
      <color indexed="8"/>
      <name val="Arial Nova"/>
      <family val="2"/>
    </font>
    <font>
      <sz val="11"/>
      <color theme="0" tint="-0.499984740745262"/>
      <name val="HelveticaNeueLT W1G 55 Roman"/>
      <family val="2"/>
    </font>
    <font>
      <sz val="10"/>
      <color indexed="8"/>
      <name val="Arial Nova"/>
      <family val="2"/>
    </font>
    <font>
      <sz val="11"/>
      <color theme="0" tint="-0.499984740745262"/>
      <name val="Calibri"/>
      <family val="2"/>
      <scheme val="minor"/>
    </font>
    <font>
      <sz val="10"/>
      <color theme="0"/>
      <name val="Calibri"/>
      <family val="2"/>
    </font>
    <font>
      <sz val="10"/>
      <color rgb="FF000000"/>
      <name val="Arial Nova"/>
      <family val="2"/>
    </font>
    <font>
      <i/>
      <sz val="11"/>
      <color theme="0" tint="-0.499984740745262"/>
      <name val="HelveticaNeueLT W1G 55 Roman"/>
      <family val="2"/>
    </font>
    <font>
      <i/>
      <sz val="11"/>
      <color theme="0" tint="-0.499984740745262"/>
      <name val="Calibri"/>
      <family val="2"/>
      <scheme val="minor"/>
    </font>
    <font>
      <b/>
      <i/>
      <sz val="12"/>
      <color theme="0" tint="-0.499984740745262"/>
      <name val="HelveticaNeueLT W1G 55 Roman"/>
      <family val="2"/>
    </font>
    <font>
      <i/>
      <sz val="6"/>
      <color theme="0" tint="-0.499984740745262"/>
      <name val="HelveticaNeueLT W1G 55 Roman"/>
      <family val="2"/>
    </font>
    <font>
      <i/>
      <sz val="10"/>
      <color theme="0" tint="-0.499984740745262"/>
      <name val="HelveticaNeueLT W1G 55 Roman"/>
      <family val="2"/>
    </font>
    <font>
      <i/>
      <sz val="10"/>
      <color theme="0" tint="-0.499984740745262"/>
      <name val="Arial Nova"/>
      <family val="2"/>
    </font>
    <font>
      <i/>
      <sz val="11"/>
      <color theme="0" tint="-0.499984740745262"/>
      <name val="Arial Nova"/>
      <family val="2"/>
    </font>
    <font>
      <i/>
      <sz val="8"/>
      <color theme="0" tint="-0.499984740745262"/>
      <name val="Arial Nova"/>
      <family val="2"/>
    </font>
    <font>
      <sz val="10"/>
      <name val="Arial"/>
      <family val="2"/>
    </font>
    <font>
      <b/>
      <i/>
      <sz val="10"/>
      <color theme="0" tint="-0.499984740745262"/>
      <name val="HelveticaNeueLT Pro 55 Roman"/>
      <family val="2"/>
    </font>
    <font>
      <i/>
      <sz val="10"/>
      <color theme="0" tint="-0.499984740745262"/>
      <name val="HelveticaNeueLT Pro 55 Roman"/>
      <family val="2"/>
    </font>
    <font>
      <b/>
      <i/>
      <sz val="12"/>
      <color theme="0" tint="-0.499984740745262"/>
      <name val="HelveticaNeueLT Pro 55 Roman"/>
      <family val="2"/>
    </font>
    <font>
      <b/>
      <i/>
      <sz val="11"/>
      <color theme="0" tint="-0.499984740745262"/>
      <name val="HelveticaNeueLT Pro 55 Roman"/>
      <family val="2"/>
    </font>
    <font>
      <i/>
      <sz val="11"/>
      <color theme="0" tint="-0.499984740745262"/>
      <name val="HelveticaNeueLT Pro 55 Roman"/>
      <family val="2"/>
    </font>
    <font>
      <sz val="10"/>
      <color theme="1"/>
      <name val="Arial Nova"/>
      <family val="2"/>
    </font>
    <font>
      <b/>
      <sz val="16"/>
      <color theme="1"/>
      <name val="Arial Nova"/>
      <family val="2"/>
    </font>
    <font>
      <b/>
      <sz val="10"/>
      <color theme="1"/>
      <name val="Arial Nova"/>
      <family val="2"/>
    </font>
    <font>
      <b/>
      <sz val="18"/>
      <color theme="1"/>
      <name val="Calibri"/>
      <family val="2"/>
      <scheme val="minor"/>
    </font>
    <font>
      <b/>
      <sz val="10"/>
      <color rgb="FF00B050"/>
      <name val="Arial Nova"/>
      <family val="2"/>
    </font>
    <font>
      <sz val="11"/>
      <color theme="1" tint="0.34998626667073579"/>
      <name val="Calibri"/>
      <family val="2"/>
      <scheme val="minor"/>
    </font>
    <font>
      <vertAlign val="superscript"/>
      <sz val="16"/>
      <color rgb="FF706F6F"/>
      <name val="HelveticaNeueLT Pro 53 Ex"/>
      <family val="2"/>
    </font>
    <font>
      <sz val="11"/>
      <name val="HelveticaNeueLT Pro 55 Roman"/>
      <family val="2"/>
    </font>
    <font>
      <sz val="9"/>
      <color rgb="FF706F6F"/>
      <name val="HelveticaNeueLT Pro 55 Roman"/>
      <family val="2"/>
    </font>
    <font>
      <b/>
      <sz val="11"/>
      <color rgb="FF1F2662"/>
      <name val="HelveticaNeueLT Pro 55 Roman"/>
      <family val="2"/>
    </font>
    <font>
      <sz val="11"/>
      <color theme="0"/>
      <name val="HelveticaNeueLT Pro 55 Roman"/>
      <family val="2"/>
    </font>
    <font>
      <sz val="11"/>
      <color theme="0"/>
      <name val="HelveticaNeueLT Pro 53 Ex"/>
      <family val="2"/>
    </font>
    <font>
      <b/>
      <sz val="12"/>
      <color theme="1"/>
      <name val="Arial Nova"/>
      <family val="2"/>
    </font>
    <font>
      <vertAlign val="superscript"/>
      <sz val="16"/>
      <color theme="0"/>
      <name val="HelveticaNeueLT Pro 53 Ex"/>
      <family val="2"/>
    </font>
    <font>
      <sz val="15"/>
      <color theme="0"/>
      <name val="HelveticaNeueLT Pro 53 Ex"/>
      <family val="2"/>
    </font>
    <font>
      <vertAlign val="superscript"/>
      <sz val="15"/>
      <color theme="0"/>
      <name val="HelveticaNeueLT Pro 53 Ex"/>
      <family val="2"/>
    </font>
  </fonts>
  <fills count="9">
    <fill>
      <patternFill patternType="none"/>
    </fill>
    <fill>
      <patternFill patternType="gray125"/>
    </fill>
    <fill>
      <patternFill patternType="solid">
        <fgColor rgb="FF1F2662"/>
        <bgColor indexed="64"/>
      </patternFill>
    </fill>
    <fill>
      <patternFill patternType="solid">
        <fgColor theme="0"/>
        <bgColor indexed="64"/>
      </patternFill>
    </fill>
    <fill>
      <patternFill patternType="solid">
        <fgColor rgb="FFFFFF00"/>
        <bgColor indexed="64"/>
      </patternFill>
    </fill>
    <fill>
      <patternFill patternType="solid">
        <fgColor rgb="FFFFFF99"/>
        <bgColor indexed="64"/>
      </patternFill>
    </fill>
    <fill>
      <patternFill patternType="solid">
        <fgColor rgb="FF008B4A"/>
        <bgColor indexed="64"/>
      </patternFill>
    </fill>
    <fill>
      <patternFill patternType="solid">
        <fgColor rgb="FFE1CD1C"/>
        <bgColor indexed="64"/>
      </patternFill>
    </fill>
    <fill>
      <patternFill patternType="solid">
        <fgColor theme="1"/>
        <bgColor indexed="64"/>
      </patternFill>
    </fill>
  </fills>
  <borders count="37">
    <border>
      <left/>
      <right/>
      <top/>
      <bottom/>
      <diagonal/>
    </border>
    <border>
      <left/>
      <right style="thin">
        <color rgb="FF706F6F"/>
      </right>
      <top/>
      <bottom style="thin">
        <color rgb="FF706F6F"/>
      </bottom>
      <diagonal/>
    </border>
    <border>
      <left/>
      <right style="thin">
        <color rgb="FF706F6F"/>
      </right>
      <top style="thin">
        <color rgb="FF706F6F"/>
      </top>
      <bottom style="thin">
        <color rgb="FF706F6F"/>
      </bottom>
      <diagonal/>
    </border>
    <border>
      <left style="thin">
        <color rgb="FF706F6F"/>
      </left>
      <right style="thin">
        <color rgb="FF706F6F"/>
      </right>
      <top style="thin">
        <color rgb="FF706F6F"/>
      </top>
      <bottom style="thin">
        <color rgb="FF706F6F"/>
      </bottom>
      <diagonal/>
    </border>
    <border>
      <left/>
      <right style="thin">
        <color rgb="FF706F6F"/>
      </right>
      <top style="thin">
        <color rgb="FF706F6F"/>
      </top>
      <bottom/>
      <diagonal/>
    </border>
    <border>
      <left style="thin">
        <color rgb="FF706F6F"/>
      </left>
      <right style="thin">
        <color rgb="FF706F6F"/>
      </right>
      <top style="thin">
        <color rgb="FF706F6F"/>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style="thin">
        <color auto="1"/>
      </left>
      <right style="thin">
        <color indexed="64"/>
      </right>
      <top/>
      <bottom/>
      <diagonal/>
    </border>
    <border>
      <left style="thin">
        <color indexed="64"/>
      </left>
      <right/>
      <top style="thin">
        <color auto="1"/>
      </top>
      <bottom style="double">
        <color auto="1"/>
      </bottom>
      <diagonal/>
    </border>
    <border>
      <left/>
      <right/>
      <top style="thin">
        <color auto="1"/>
      </top>
      <bottom style="double">
        <color auto="1"/>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top/>
      <bottom style="thin">
        <color indexed="64"/>
      </bottom>
      <diagonal/>
    </border>
    <border>
      <left/>
      <right/>
      <top/>
      <bottom style="thin">
        <color rgb="FF706F6F"/>
      </bottom>
      <diagonal/>
    </border>
  </borders>
  <cellStyleXfs count="4">
    <xf numFmtId="0" fontId="0" fillId="0" borderId="0"/>
    <xf numFmtId="43" fontId="6" fillId="0" borderId="0" applyFont="0" applyFill="0" applyBorder="0" applyAlignment="0" applyProtection="0"/>
    <xf numFmtId="44" fontId="6" fillId="0" borderId="0" applyFont="0" applyFill="0" applyBorder="0" applyAlignment="0" applyProtection="0"/>
    <xf numFmtId="0" fontId="29" fillId="0" borderId="0"/>
  </cellStyleXfs>
  <cellXfs count="159">
    <xf numFmtId="0" fontId="0" fillId="0" borderId="0" xfId="0"/>
    <xf numFmtId="0" fontId="1" fillId="0" borderId="0" xfId="0" applyFont="1"/>
    <xf numFmtId="0" fontId="4" fillId="0" borderId="0" xfId="0" applyFont="1" applyAlignment="1">
      <alignment horizontal="left" vertical="top"/>
    </xf>
    <xf numFmtId="0" fontId="1" fillId="0" borderId="0" xfId="0" applyFont="1" applyAlignment="1">
      <alignment horizontal="left" vertical="top"/>
    </xf>
    <xf numFmtId="0" fontId="8" fillId="0" borderId="6" xfId="0" applyFont="1" applyBorder="1" applyAlignment="1">
      <alignment wrapText="1"/>
    </xf>
    <xf numFmtId="0" fontId="8" fillId="0" borderId="7" xfId="0" applyFont="1" applyBorder="1"/>
    <xf numFmtId="0" fontId="8" fillId="0" borderId="7" xfId="0" applyFont="1" applyBorder="1" applyAlignment="1">
      <alignment wrapText="1"/>
    </xf>
    <xf numFmtId="0" fontId="8" fillId="0" borderId="8" xfId="0" applyFont="1" applyBorder="1"/>
    <xf numFmtId="164" fontId="0" fillId="0" borderId="0" xfId="0" applyNumberFormat="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9" fillId="0" borderId="6" xfId="0" applyFont="1" applyBorder="1" applyProtection="1">
      <protection hidden="1"/>
    </xf>
    <xf numFmtId="0" fontId="9" fillId="0" borderId="7" xfId="0" applyFont="1" applyBorder="1" applyProtection="1">
      <protection hidden="1"/>
    </xf>
    <xf numFmtId="0" fontId="9" fillId="0" borderId="8" xfId="0" applyFont="1" applyBorder="1" applyProtection="1">
      <protection hidden="1"/>
    </xf>
    <xf numFmtId="0" fontId="10" fillId="0" borderId="9" xfId="0" applyFont="1" applyBorder="1"/>
    <xf numFmtId="0" fontId="10" fillId="0" borderId="10" xfId="0" applyFont="1" applyBorder="1" applyAlignment="1">
      <alignment wrapText="1"/>
    </xf>
    <xf numFmtId="0" fontId="10" fillId="0" borderId="10" xfId="0" applyFont="1" applyBorder="1"/>
    <xf numFmtId="0" fontId="11" fillId="0" borderId="11" xfId="0" applyFont="1" applyBorder="1" applyAlignment="1">
      <alignment wrapText="1"/>
    </xf>
    <xf numFmtId="0" fontId="10" fillId="0" borderId="12" xfId="0" applyFont="1" applyBorder="1"/>
    <xf numFmtId="0" fontId="10" fillId="0" borderId="13" xfId="0" applyFont="1" applyBorder="1"/>
    <xf numFmtId="2" fontId="10" fillId="0" borderId="13" xfId="0" applyNumberFormat="1" applyFont="1" applyBorder="1"/>
    <xf numFmtId="164" fontId="11" fillId="0" borderId="14" xfId="0" applyNumberFormat="1" applyFont="1" applyBorder="1"/>
    <xf numFmtId="0" fontId="10" fillId="0" borderId="0" xfId="0" applyFont="1"/>
    <xf numFmtId="0" fontId="12" fillId="0" borderId="9" xfId="0" applyFont="1" applyBorder="1" applyProtection="1">
      <protection hidden="1"/>
    </xf>
    <xf numFmtId="0" fontId="12" fillId="0" borderId="10" xfId="0" applyFont="1" applyBorder="1"/>
    <xf numFmtId="4" fontId="12" fillId="0" borderId="10" xfId="0" applyNumberFormat="1" applyFont="1" applyBorder="1"/>
    <xf numFmtId="0" fontId="12" fillId="0" borderId="11" xfId="0" applyFont="1" applyBorder="1"/>
    <xf numFmtId="0" fontId="14" fillId="0" borderId="0" xfId="0" applyFont="1"/>
    <xf numFmtId="0" fontId="15" fillId="0" borderId="0" xfId="0" applyFont="1"/>
    <xf numFmtId="0" fontId="16" fillId="0" borderId="0" xfId="0" applyFont="1"/>
    <xf numFmtId="0" fontId="12" fillId="3" borderId="19" xfId="0" applyFont="1" applyFill="1" applyBorder="1" applyProtection="1">
      <protection hidden="1"/>
    </xf>
    <xf numFmtId="0" fontId="12" fillId="3" borderId="20" xfId="0" applyFont="1" applyFill="1" applyBorder="1"/>
    <xf numFmtId="3" fontId="12" fillId="3" borderId="20" xfId="0" applyNumberFormat="1" applyFont="1" applyFill="1" applyBorder="1" applyProtection="1">
      <protection locked="0"/>
    </xf>
    <xf numFmtId="0" fontId="12" fillId="3" borderId="21" xfId="0" applyFont="1" applyFill="1" applyBorder="1"/>
    <xf numFmtId="0" fontId="16" fillId="3" borderId="0" xfId="0" applyFont="1" applyFill="1"/>
    <xf numFmtId="0" fontId="18" fillId="3" borderId="0" xfId="0" applyFont="1" applyFill="1"/>
    <xf numFmtId="0" fontId="12" fillId="3" borderId="12" xfId="0" applyFont="1" applyFill="1" applyBorder="1" applyProtection="1">
      <protection hidden="1"/>
    </xf>
    <xf numFmtId="0" fontId="12" fillId="3" borderId="13" xfId="0" applyFont="1" applyFill="1" applyBorder="1"/>
    <xf numFmtId="0" fontId="12" fillId="3" borderId="13" xfId="0" applyFont="1" applyFill="1" applyBorder="1" applyProtection="1">
      <protection locked="0"/>
    </xf>
    <xf numFmtId="0" fontId="12" fillId="3" borderId="14" xfId="0" applyFont="1" applyFill="1" applyBorder="1"/>
    <xf numFmtId="0" fontId="15" fillId="0" borderId="0" xfId="0" applyFont="1" applyProtection="1">
      <protection hidden="1"/>
    </xf>
    <xf numFmtId="4" fontId="15" fillId="0" borderId="0" xfId="0" applyNumberFormat="1" applyFont="1"/>
    <xf numFmtId="0" fontId="12" fillId="0" borderId="10" xfId="0" applyFont="1" applyBorder="1" applyProtection="1">
      <protection hidden="1"/>
    </xf>
    <xf numFmtId="0" fontId="12" fillId="0" borderId="11" xfId="0" applyFont="1" applyBorder="1" applyProtection="1">
      <protection hidden="1"/>
    </xf>
    <xf numFmtId="0" fontId="18" fillId="0" borderId="0" xfId="0" applyFont="1"/>
    <xf numFmtId="4" fontId="12" fillId="0" borderId="10" xfId="0" applyNumberFormat="1" applyFont="1" applyBorder="1" applyProtection="1">
      <protection hidden="1"/>
    </xf>
    <xf numFmtId="3" fontId="12" fillId="0" borderId="10" xfId="0" applyNumberFormat="1" applyFont="1" applyBorder="1" applyAlignment="1" applyProtection="1">
      <alignment horizontal="right" vertical="center" wrapText="1"/>
      <protection hidden="1"/>
    </xf>
    <xf numFmtId="0" fontId="12" fillId="0" borderId="11" xfId="0" applyFont="1" applyBorder="1" applyAlignment="1">
      <alignment vertical="center"/>
    </xf>
    <xf numFmtId="0" fontId="16" fillId="0" borderId="0" xfId="0" applyFont="1" applyAlignment="1">
      <alignment horizontal="center" vertical="center" wrapText="1"/>
    </xf>
    <xf numFmtId="165" fontId="12" fillId="0" borderId="10" xfId="0" applyNumberFormat="1" applyFont="1" applyBorder="1" applyProtection="1">
      <protection hidden="1"/>
    </xf>
    <xf numFmtId="0" fontId="21" fillId="0" borderId="0" xfId="0" applyFont="1"/>
    <xf numFmtId="0" fontId="22" fillId="0" borderId="0" xfId="0" applyFont="1"/>
    <xf numFmtId="0" fontId="23" fillId="0" borderId="18" xfId="0" applyFont="1" applyBorder="1"/>
    <xf numFmtId="0" fontId="23" fillId="0" borderId="0" xfId="0" applyFont="1"/>
    <xf numFmtId="0" fontId="21" fillId="4" borderId="0" xfId="0" applyFont="1" applyFill="1"/>
    <xf numFmtId="0" fontId="21" fillId="0" borderId="0" xfId="0" applyFont="1" applyAlignment="1">
      <alignment horizontal="center"/>
    </xf>
    <xf numFmtId="0" fontId="27" fillId="2" borderId="15" xfId="0" applyFont="1" applyFill="1" applyBorder="1" applyProtection="1">
      <protection hidden="1"/>
    </xf>
    <xf numFmtId="0" fontId="27" fillId="2" borderId="16" xfId="0" applyFont="1" applyFill="1" applyBorder="1"/>
    <xf numFmtId="4" fontId="27" fillId="2" borderId="16" xfId="0" applyNumberFormat="1" applyFont="1" applyFill="1" applyBorder="1" applyAlignment="1">
      <alignment horizontal="right"/>
    </xf>
    <xf numFmtId="0" fontId="27" fillId="2" borderId="17" xfId="0" applyFont="1" applyFill="1" applyBorder="1"/>
    <xf numFmtId="0" fontId="30" fillId="0" borderId="10" xfId="3" applyFont="1" applyBorder="1" applyProtection="1">
      <protection hidden="1"/>
    </xf>
    <xf numFmtId="0" fontId="31" fillId="0" borderId="22" xfId="3" applyFont="1" applyBorder="1" applyProtection="1">
      <protection hidden="1"/>
    </xf>
    <xf numFmtId="0" fontId="31" fillId="0" borderId="0" xfId="3" applyFont="1" applyProtection="1">
      <protection hidden="1"/>
    </xf>
    <xf numFmtId="0" fontId="30" fillId="0" borderId="20" xfId="3" applyFont="1" applyBorder="1" applyProtection="1">
      <protection hidden="1"/>
    </xf>
    <xf numFmtId="10" fontId="30" fillId="4" borderId="20" xfId="3" applyNumberFormat="1" applyFont="1" applyFill="1" applyBorder="1" applyProtection="1">
      <protection locked="0"/>
    </xf>
    <xf numFmtId="10" fontId="30" fillId="5" borderId="10" xfId="3" applyNumberFormat="1" applyFont="1" applyFill="1" applyBorder="1" applyProtection="1">
      <protection locked="0"/>
    </xf>
    <xf numFmtId="0" fontId="30" fillId="0" borderId="10" xfId="3" applyFont="1" applyBorder="1" applyAlignment="1" applyProtection="1">
      <alignment horizontal="right"/>
      <protection hidden="1"/>
    </xf>
    <xf numFmtId="1" fontId="30" fillId="0" borderId="10" xfId="3" applyNumberFormat="1" applyFont="1" applyBorder="1" applyAlignment="1" applyProtection="1">
      <alignment horizontal="center"/>
      <protection hidden="1"/>
    </xf>
    <xf numFmtId="2" fontId="30" fillId="5" borderId="10" xfId="3" applyNumberFormat="1" applyFont="1" applyFill="1" applyBorder="1" applyProtection="1">
      <protection locked="0"/>
    </xf>
    <xf numFmtId="2" fontId="30" fillId="0" borderId="0" xfId="3" applyNumberFormat="1" applyFont="1" applyProtection="1">
      <protection hidden="1"/>
    </xf>
    <xf numFmtId="0" fontId="31" fillId="0" borderId="23" xfId="3" applyFont="1" applyBorder="1" applyProtection="1">
      <protection hidden="1"/>
    </xf>
    <xf numFmtId="0" fontId="32" fillId="0" borderId="24" xfId="3" applyFont="1" applyBorder="1" applyAlignment="1" applyProtection="1">
      <alignment horizontal="left"/>
      <protection hidden="1"/>
    </xf>
    <xf numFmtId="0" fontId="30" fillId="0" borderId="25" xfId="3" applyFont="1" applyBorder="1" applyAlignment="1" applyProtection="1">
      <alignment horizontal="left" wrapText="1"/>
      <protection hidden="1"/>
    </xf>
    <xf numFmtId="0" fontId="32" fillId="0" borderId="26" xfId="3" applyFont="1" applyBorder="1" applyAlignment="1" applyProtection="1">
      <alignment horizontal="left"/>
      <protection hidden="1"/>
    </xf>
    <xf numFmtId="0" fontId="31" fillId="0" borderId="27" xfId="3" applyFont="1" applyBorder="1" applyProtection="1">
      <protection hidden="1"/>
    </xf>
    <xf numFmtId="0" fontId="33" fillId="0" borderId="28" xfId="3" applyFont="1" applyBorder="1" applyProtection="1">
      <protection hidden="1"/>
    </xf>
    <xf numFmtId="0" fontId="34" fillId="0" borderId="29" xfId="3" applyFont="1" applyBorder="1" applyProtection="1">
      <protection hidden="1"/>
    </xf>
    <xf numFmtId="0" fontId="31" fillId="0" borderId="28" xfId="3" applyFont="1" applyBorder="1" applyProtection="1">
      <protection hidden="1"/>
    </xf>
    <xf numFmtId="4" fontId="31" fillId="0" borderId="30" xfId="3" applyNumberFormat="1" applyFont="1" applyBorder="1" applyProtection="1">
      <protection hidden="1"/>
    </xf>
    <xf numFmtId="0" fontId="30" fillId="0" borderId="28" xfId="3" applyFont="1" applyBorder="1" applyProtection="1">
      <protection hidden="1"/>
    </xf>
    <xf numFmtId="4" fontId="30" fillId="0" borderId="30" xfId="3" applyNumberFormat="1" applyFont="1" applyBorder="1" applyProtection="1">
      <protection hidden="1"/>
    </xf>
    <xf numFmtId="0" fontId="30" fillId="0" borderId="24" xfId="3" applyFont="1" applyBorder="1" applyAlignment="1" applyProtection="1">
      <alignment vertical="top"/>
      <protection hidden="1"/>
    </xf>
    <xf numFmtId="0" fontId="31" fillId="0" borderId="25" xfId="3" applyFont="1" applyBorder="1" applyProtection="1">
      <protection hidden="1"/>
    </xf>
    <xf numFmtId="0" fontId="30" fillId="0" borderId="26" xfId="3" applyFont="1" applyBorder="1" applyProtection="1">
      <protection hidden="1"/>
    </xf>
    <xf numFmtId="4" fontId="30" fillId="0" borderId="20" xfId="3" applyNumberFormat="1" applyFont="1" applyBorder="1" applyProtection="1">
      <protection hidden="1"/>
    </xf>
    <xf numFmtId="0" fontId="31" fillId="0" borderId="10" xfId="3" applyFont="1" applyBorder="1" applyProtection="1">
      <protection hidden="1"/>
    </xf>
    <xf numFmtId="4" fontId="31" fillId="0" borderId="10" xfId="3" applyNumberFormat="1" applyFont="1" applyBorder="1" applyProtection="1">
      <protection hidden="1"/>
    </xf>
    <xf numFmtId="0" fontId="33" fillId="0" borderId="24" xfId="3" applyFont="1" applyBorder="1" applyProtection="1">
      <protection hidden="1"/>
    </xf>
    <xf numFmtId="0" fontId="31" fillId="0" borderId="10" xfId="3" applyFont="1" applyBorder="1" applyAlignment="1" applyProtection="1">
      <alignment wrapText="1"/>
      <protection hidden="1"/>
    </xf>
    <xf numFmtId="0" fontId="31" fillId="0" borderId="30" xfId="3" applyFont="1" applyBorder="1" applyProtection="1">
      <protection hidden="1"/>
    </xf>
    <xf numFmtId="4" fontId="31" fillId="0" borderId="0" xfId="3" applyNumberFormat="1" applyFont="1" applyProtection="1">
      <protection hidden="1"/>
    </xf>
    <xf numFmtId="0" fontId="31" fillId="0" borderId="29" xfId="3" applyFont="1" applyBorder="1" applyProtection="1">
      <protection hidden="1"/>
    </xf>
    <xf numFmtId="0" fontId="30" fillId="0" borderId="31" xfId="3" applyFont="1" applyBorder="1" applyProtection="1">
      <protection hidden="1"/>
    </xf>
    <xf numFmtId="166" fontId="30" fillId="0" borderId="32" xfId="3" applyNumberFormat="1" applyFont="1" applyBorder="1" applyProtection="1">
      <protection hidden="1"/>
    </xf>
    <xf numFmtId="0" fontId="31" fillId="0" borderId="0" xfId="0" applyFont="1" applyProtection="1">
      <protection hidden="1"/>
    </xf>
    <xf numFmtId="0" fontId="31" fillId="0" borderId="28" xfId="3" applyFont="1" applyBorder="1" applyAlignment="1" applyProtection="1">
      <alignment horizontal="right"/>
      <protection hidden="1"/>
    </xf>
    <xf numFmtId="4" fontId="30" fillId="0" borderId="0" xfId="3" applyNumberFormat="1" applyFont="1" applyProtection="1">
      <protection hidden="1"/>
    </xf>
    <xf numFmtId="0" fontId="32" fillId="0" borderId="31" xfId="3" applyFont="1" applyBorder="1" applyProtection="1">
      <protection hidden="1"/>
    </xf>
    <xf numFmtId="4" fontId="32" fillId="0" borderId="32" xfId="3" applyNumberFormat="1" applyFont="1" applyBorder="1" applyProtection="1">
      <protection hidden="1"/>
    </xf>
    <xf numFmtId="0" fontId="32" fillId="0" borderId="28" xfId="3" applyFont="1" applyBorder="1" applyProtection="1">
      <protection hidden="1"/>
    </xf>
    <xf numFmtId="0" fontId="32" fillId="0" borderId="0" xfId="3" applyFont="1" applyProtection="1">
      <protection hidden="1"/>
    </xf>
    <xf numFmtId="0" fontId="32" fillId="0" borderId="33" xfId="3" applyFont="1" applyBorder="1" applyProtection="1">
      <protection hidden="1"/>
    </xf>
    <xf numFmtId="4" fontId="32" fillId="0" borderId="34" xfId="3" applyNumberFormat="1" applyFont="1" applyBorder="1" applyProtection="1">
      <protection hidden="1"/>
    </xf>
    <xf numFmtId="0" fontId="31" fillId="0" borderId="35" xfId="3" applyFont="1" applyBorder="1" applyProtection="1">
      <protection hidden="1"/>
    </xf>
    <xf numFmtId="0" fontId="38" fillId="0" borderId="0" xfId="0" applyFont="1" applyAlignment="1">
      <alignment horizontal="center"/>
    </xf>
    <xf numFmtId="0" fontId="37" fillId="0" borderId="0" xfId="0" applyFont="1"/>
    <xf numFmtId="164" fontId="36" fillId="0" borderId="0" xfId="0" applyNumberFormat="1" applyFont="1"/>
    <xf numFmtId="0" fontId="7" fillId="0" borderId="0" xfId="0" applyFont="1"/>
    <xf numFmtId="4" fontId="0" fillId="0" borderId="0" xfId="0" applyNumberFormat="1"/>
    <xf numFmtId="0" fontId="40" fillId="0" borderId="0" xfId="0" applyFont="1"/>
    <xf numFmtId="0" fontId="12" fillId="0" borderId="0" xfId="0" applyFont="1" applyProtection="1">
      <protection hidden="1"/>
    </xf>
    <xf numFmtId="0" fontId="12" fillId="0" borderId="0" xfId="0" applyFont="1"/>
    <xf numFmtId="4" fontId="12" fillId="0" borderId="0" xfId="0" applyNumberFormat="1" applyFont="1"/>
    <xf numFmtId="0" fontId="12" fillId="3" borderId="0" xfId="0" applyFont="1" applyFill="1" applyProtection="1">
      <protection hidden="1"/>
    </xf>
    <xf numFmtId="0" fontId="12" fillId="3" borderId="0" xfId="0" applyFont="1" applyFill="1"/>
    <xf numFmtId="0" fontId="12" fillId="3" borderId="0" xfId="0" applyFont="1" applyFill="1" applyProtection="1">
      <protection locked="0"/>
    </xf>
    <xf numFmtId="0" fontId="42" fillId="0" borderId="2" xfId="0" applyFont="1" applyBorder="1" applyAlignment="1" applyProtection="1">
      <alignment horizontal="left" vertical="center"/>
      <protection locked="0"/>
    </xf>
    <xf numFmtId="0" fontId="43" fillId="0" borderId="0" xfId="0" applyFont="1"/>
    <xf numFmtId="0" fontId="2" fillId="0" borderId="0" xfId="0" applyFont="1" applyAlignment="1" applyProtection="1">
      <alignment horizontal="left" vertical="center"/>
      <protection locked="0"/>
    </xf>
    <xf numFmtId="0" fontId="35" fillId="0" borderId="0" xfId="0" applyFont="1"/>
    <xf numFmtId="0" fontId="42" fillId="0" borderId="2" xfId="0" applyFont="1" applyBorder="1" applyAlignment="1" applyProtection="1">
      <alignment horizontal="left" vertical="center" wrapText="1"/>
      <protection locked="0"/>
    </xf>
    <xf numFmtId="0" fontId="3" fillId="2" borderId="36" xfId="0" applyFont="1" applyFill="1" applyBorder="1" applyAlignment="1">
      <alignment vertical="center" wrapText="1"/>
    </xf>
    <xf numFmtId="0" fontId="17" fillId="0" borderId="0" xfId="0" applyFont="1" applyProtection="1">
      <protection hidden="1"/>
    </xf>
    <xf numFmtId="3" fontId="35" fillId="0" borderId="0" xfId="0" applyNumberFormat="1" applyFont="1"/>
    <xf numFmtId="0" fontId="35" fillId="3" borderId="0" xfId="0" applyFont="1" applyFill="1"/>
    <xf numFmtId="0" fontId="42" fillId="0" borderId="3" xfId="0" applyFont="1" applyBorder="1" applyAlignment="1" applyProtection="1">
      <alignment horizontal="left" vertical="center"/>
      <protection locked="0"/>
    </xf>
    <xf numFmtId="167" fontId="42" fillId="0" borderId="3" xfId="1" applyNumberFormat="1" applyFont="1" applyBorder="1" applyAlignment="1" applyProtection="1">
      <alignment horizontal="right" vertical="center"/>
      <protection locked="0"/>
    </xf>
    <xf numFmtId="0" fontId="46" fillId="2" borderId="1" xfId="0" applyFont="1" applyFill="1" applyBorder="1" applyAlignment="1">
      <alignment vertical="center" wrapText="1"/>
    </xf>
    <xf numFmtId="0" fontId="47" fillId="0" borderId="0" xfId="0" applyFont="1"/>
    <xf numFmtId="0" fontId="0" fillId="6" borderId="0" xfId="0" applyFill="1"/>
    <xf numFmtId="0" fontId="46" fillId="6" borderId="1" xfId="0" applyFont="1" applyFill="1" applyBorder="1" applyAlignment="1">
      <alignment vertical="center" wrapText="1"/>
    </xf>
    <xf numFmtId="0" fontId="39" fillId="2" borderId="0" xfId="0" applyFont="1" applyFill="1"/>
    <xf numFmtId="167" fontId="42" fillId="0" borderId="5" xfId="1" applyNumberFormat="1" applyFont="1" applyBorder="1" applyAlignment="1" applyProtection="1">
      <alignment horizontal="right" vertical="center"/>
      <protection locked="0"/>
    </xf>
    <xf numFmtId="165" fontId="45" fillId="2" borderId="0" xfId="0" applyNumberFormat="1" applyFont="1" applyFill="1" applyAlignment="1">
      <alignment horizontal="right"/>
    </xf>
    <xf numFmtId="0" fontId="44" fillId="7" borderId="4" xfId="0" applyFont="1" applyFill="1" applyBorder="1" applyAlignment="1" applyProtection="1">
      <alignment horizontal="right" vertical="center"/>
      <protection locked="0"/>
    </xf>
    <xf numFmtId="0" fontId="44" fillId="7" borderId="2" xfId="0" applyFont="1" applyFill="1" applyBorder="1" applyAlignment="1" applyProtection="1">
      <alignment horizontal="right" vertical="center"/>
      <protection locked="0"/>
    </xf>
    <xf numFmtId="168" fontId="46" fillId="2" borderId="36" xfId="2" applyNumberFormat="1" applyFont="1" applyFill="1" applyBorder="1" applyAlignment="1">
      <alignment horizontal="right" vertical="center" wrapText="1"/>
    </xf>
    <xf numFmtId="168" fontId="46" fillId="6" borderId="36" xfId="2" applyNumberFormat="1" applyFont="1" applyFill="1" applyBorder="1" applyAlignment="1">
      <alignment horizontal="right" vertical="center" wrapText="1"/>
    </xf>
    <xf numFmtId="0" fontId="0" fillId="0" borderId="0" xfId="0" applyAlignment="1">
      <alignment horizontal="right"/>
    </xf>
    <xf numFmtId="3" fontId="35" fillId="3" borderId="0" xfId="0" applyNumberFormat="1" applyFont="1" applyFill="1" applyAlignment="1">
      <alignment horizontal="right"/>
    </xf>
    <xf numFmtId="164" fontId="36" fillId="0" borderId="0" xfId="0" applyNumberFormat="1" applyFont="1" applyAlignment="1">
      <alignment horizontal="right"/>
    </xf>
    <xf numFmtId="168" fontId="46" fillId="8" borderId="36" xfId="2" applyNumberFormat="1" applyFont="1" applyFill="1" applyBorder="1" applyAlignment="1">
      <alignment horizontal="right" vertical="center" wrapText="1"/>
    </xf>
    <xf numFmtId="44" fontId="46" fillId="8" borderId="36" xfId="2" applyFont="1" applyFill="1" applyBorder="1" applyAlignment="1">
      <alignment vertical="center" wrapText="1"/>
    </xf>
    <xf numFmtId="0" fontId="46" fillId="8" borderId="36" xfId="0" applyFont="1" applyFill="1" applyBorder="1" applyAlignment="1">
      <alignment vertical="center" wrapText="1"/>
    </xf>
    <xf numFmtId="0" fontId="46" fillId="8" borderId="0" xfId="0" applyFont="1" applyFill="1" applyAlignment="1">
      <alignment vertical="center" wrapText="1"/>
    </xf>
    <xf numFmtId="168" fontId="46" fillId="8" borderId="0" xfId="2" applyNumberFormat="1" applyFont="1" applyFill="1" applyBorder="1" applyAlignment="1">
      <alignment horizontal="right" vertical="center" wrapText="1"/>
    </xf>
    <xf numFmtId="44" fontId="46" fillId="8" borderId="0" xfId="2" applyFont="1" applyFill="1" applyBorder="1" applyAlignment="1">
      <alignment vertical="center" wrapText="1"/>
    </xf>
    <xf numFmtId="0" fontId="49" fillId="6" borderId="36" xfId="0" applyFont="1" applyFill="1" applyBorder="1" applyAlignment="1">
      <alignment vertical="center" wrapText="1"/>
    </xf>
    <xf numFmtId="0" fontId="40" fillId="0" borderId="0" xfId="0" applyFont="1" applyAlignment="1">
      <alignment horizontal="left" vertical="top" wrapText="1"/>
    </xf>
    <xf numFmtId="0" fontId="4" fillId="0" borderId="0" xfId="0" applyFont="1" applyAlignment="1">
      <alignment horizontal="left" vertical="top"/>
    </xf>
    <xf numFmtId="0" fontId="1" fillId="0" borderId="0" xfId="0" applyFont="1" applyAlignment="1">
      <alignment horizontal="left" vertical="top"/>
    </xf>
    <xf numFmtId="0" fontId="5" fillId="0" borderId="0" xfId="0" applyFont="1" applyAlignment="1">
      <alignment horizontal="left" vertical="top"/>
    </xf>
    <xf numFmtId="0" fontId="3" fillId="2" borderId="36"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5" fillId="2" borderId="0" xfId="0" applyFont="1" applyFill="1" applyAlignment="1" applyProtection="1">
      <alignment horizontal="left" vertical="center"/>
      <protection locked="0"/>
    </xf>
  </cellXfs>
  <cellStyles count="4">
    <cellStyle name="Komma" xfId="1" builtinId="3"/>
    <cellStyle name="Standard" xfId="0" builtinId="0"/>
    <cellStyle name="Standard 3" xfId="3" xr:uid="{1066B4A7-EAF3-45ED-8620-ACF9B2084313}"/>
    <cellStyle name="Währung" xfId="2" builtinId="4"/>
  </cellStyles>
  <dxfs count="0"/>
  <tableStyles count="0" defaultTableStyle="TableStyleMedium2" defaultPivotStyle="PivotStyleLight16"/>
  <colors>
    <mruColors>
      <color rgb="FF706F6F"/>
      <color rgb="FFE1CD1C"/>
      <color rgb="FF1F2662"/>
      <color rgb="FF008B4A"/>
      <color rgb="FFFFFF9F"/>
      <color rgb="FFA8A8A7"/>
      <color rgb="FFD5D4E4"/>
      <color rgb="FFEBEBF3"/>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38100</xdr:colOff>
      <xdr:row>91</xdr:row>
      <xdr:rowOff>87630</xdr:rowOff>
    </xdr:from>
    <xdr:to>
      <xdr:col>3</xdr:col>
      <xdr:colOff>0</xdr:colOff>
      <xdr:row>92</xdr:row>
      <xdr:rowOff>142875</xdr:rowOff>
    </xdr:to>
    <xdr:cxnSp macro="">
      <xdr:nvCxnSpPr>
        <xdr:cNvPr id="2" name="Gerade Verbindung mit Pfeil 1">
          <a:extLst>
            <a:ext uri="{FF2B5EF4-FFF2-40B4-BE49-F238E27FC236}">
              <a16:creationId xmlns:a16="http://schemas.microsoft.com/office/drawing/2014/main" id="{9EFB2549-DDDD-4CA0-A47C-B3EEFC3475FE}"/>
            </a:ext>
          </a:extLst>
        </xdr:cNvPr>
        <xdr:cNvCxnSpPr/>
      </xdr:nvCxnSpPr>
      <xdr:spPr bwMode="auto">
        <a:xfrm flipH="1">
          <a:off x="3118757" y="15088144"/>
          <a:ext cx="2650672" cy="240302"/>
        </a:xfrm>
        <a:prstGeom prst="straightConnector1">
          <a:avLst/>
        </a:prstGeom>
        <a:solidFill>
          <a:srgbClr val="000000"/>
        </a:solidFill>
        <a:ln w="25400" cap="flat" cmpd="sng" algn="ctr">
          <a:solidFill>
            <a:schemeClr val="tx1"/>
          </a:solidFill>
          <a:prstDash val="solid"/>
          <a:round/>
          <a:headEnd type="none" w="med" len="med"/>
          <a:tailEnd type="arrow"/>
        </a:ln>
        <a:effec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3"/>
  <sheetViews>
    <sheetView tabSelected="1" view="pageLayout" zoomScale="96" zoomScaleNormal="85" zoomScalePageLayoutView="96" workbookViewId="0">
      <selection activeCell="I6" sqref="I6"/>
    </sheetView>
  </sheetViews>
  <sheetFormatPr baseColWidth="10" defaultColWidth="11.42578125" defaultRowHeight="14.25" x14ac:dyDescent="0.2"/>
  <cols>
    <col min="1" max="1" width="63" style="1" customWidth="1"/>
    <col min="2" max="2" width="5" style="1" customWidth="1"/>
    <col min="3" max="3" width="15" style="1" customWidth="1"/>
    <col min="4" max="4" width="10.28515625" style="1" customWidth="1"/>
    <col min="5" max="6" width="3.7109375" style="1" customWidth="1"/>
    <col min="7" max="7" width="3.42578125" style="1" customWidth="1"/>
    <col min="8" max="8" width="32.5703125" style="1" customWidth="1"/>
    <col min="9" max="9" width="16.42578125" style="1" customWidth="1"/>
    <col min="10" max="10" width="12.42578125" style="1" customWidth="1"/>
    <col min="11" max="16384" width="11.42578125" style="1"/>
  </cols>
  <sheetData>
    <row r="1" spans="1:10" ht="27" x14ac:dyDescent="0.2">
      <c r="A1" s="155" t="s">
        <v>173</v>
      </c>
      <c r="B1" s="154"/>
      <c r="C1" s="154"/>
      <c r="D1" s="154"/>
      <c r="E1" s="154"/>
      <c r="F1" s="154"/>
      <c r="G1" s="154"/>
      <c r="H1" s="154"/>
      <c r="I1" s="154"/>
      <c r="J1" s="154"/>
    </row>
    <row r="2" spans="1:10" ht="21.75" x14ac:dyDescent="0.2">
      <c r="A2" s="153" t="s">
        <v>163</v>
      </c>
      <c r="B2" s="154"/>
      <c r="C2" s="154"/>
      <c r="D2" s="154"/>
      <c r="E2" s="154"/>
      <c r="F2" s="154"/>
      <c r="G2" s="154"/>
      <c r="H2" s="154"/>
      <c r="I2" s="154"/>
      <c r="J2" s="154"/>
    </row>
    <row r="3" spans="1:10" ht="19.5" x14ac:dyDescent="0.2">
      <c r="A3" s="2"/>
      <c r="B3" s="3"/>
      <c r="C3" s="3"/>
      <c r="D3" s="3"/>
      <c r="E3" s="3"/>
      <c r="F3" s="3"/>
      <c r="G3" s="3"/>
      <c r="H3" s="3"/>
      <c r="I3" s="3"/>
      <c r="J3" s="3"/>
    </row>
    <row r="4" spans="1:10" ht="25.7" customHeight="1" x14ac:dyDescent="0.25">
      <c r="A4" s="156" t="s">
        <v>16</v>
      </c>
      <c r="B4" s="156"/>
      <c r="C4" s="156"/>
      <c r="D4" s="157"/>
      <c r="E4" s="55"/>
      <c r="F4" s="55"/>
      <c r="G4"/>
      <c r="H4"/>
      <c r="I4"/>
      <c r="J4"/>
    </row>
    <row r="5" spans="1:10" ht="19.350000000000001" customHeight="1" x14ac:dyDescent="0.25">
      <c r="A5" s="120" t="s">
        <v>17</v>
      </c>
      <c r="B5" s="120" t="s">
        <v>18</v>
      </c>
      <c r="C5" s="138">
        <v>50</v>
      </c>
      <c r="D5" s="129" t="s">
        <v>19</v>
      </c>
      <c r="E5" s="121" t="s">
        <v>20</v>
      </c>
      <c r="F5" s="122"/>
      <c r="G5" s="121"/>
      <c r="I5"/>
      <c r="J5"/>
    </row>
    <row r="6" spans="1:10" ht="19.350000000000001" customHeight="1" x14ac:dyDescent="0.25">
      <c r="A6" s="120" t="s">
        <v>21</v>
      </c>
      <c r="B6" s="120" t="s">
        <v>22</v>
      </c>
      <c r="C6" s="138">
        <v>30</v>
      </c>
      <c r="D6" s="129" t="s">
        <v>19</v>
      </c>
      <c r="E6" s="121" t="s">
        <v>20</v>
      </c>
      <c r="F6" s="122"/>
      <c r="G6" s="121"/>
      <c r="I6"/>
      <c r="J6"/>
    </row>
    <row r="7" spans="1:10" ht="19.350000000000001" customHeight="1" x14ac:dyDescent="0.25">
      <c r="A7" s="120" t="s">
        <v>23</v>
      </c>
      <c r="B7" s="120" t="s">
        <v>24</v>
      </c>
      <c r="C7" s="138">
        <v>10</v>
      </c>
      <c r="D7" s="129" t="s">
        <v>19</v>
      </c>
      <c r="E7" s="121" t="s">
        <v>20</v>
      </c>
      <c r="F7" s="122"/>
      <c r="G7" s="121"/>
      <c r="I7"/>
      <c r="J7"/>
    </row>
    <row r="8" spans="1:10" ht="24.95" customHeight="1" x14ac:dyDescent="0.25">
      <c r="A8" s="124" t="s">
        <v>164</v>
      </c>
      <c r="B8" s="120" t="s">
        <v>25</v>
      </c>
      <c r="C8" s="138">
        <v>25</v>
      </c>
      <c r="D8" s="129" t="s">
        <v>2</v>
      </c>
      <c r="E8" s="121" t="s">
        <v>20</v>
      </c>
      <c r="F8" s="122"/>
      <c r="G8" s="121"/>
      <c r="I8"/>
      <c r="J8"/>
    </row>
    <row r="9" spans="1:10" ht="19.350000000000001" customHeight="1" x14ac:dyDescent="0.25">
      <c r="A9" s="120" t="s">
        <v>26</v>
      </c>
      <c r="B9" s="120"/>
      <c r="C9" s="138">
        <v>5</v>
      </c>
      <c r="D9" s="129" t="s">
        <v>27</v>
      </c>
      <c r="E9" s="121" t="s">
        <v>28</v>
      </c>
      <c r="F9" s="122"/>
      <c r="G9" s="121"/>
      <c r="I9"/>
      <c r="J9"/>
    </row>
    <row r="10" spans="1:10" ht="19.350000000000001" customHeight="1" x14ac:dyDescent="0.25">
      <c r="A10" s="120" t="s">
        <v>29</v>
      </c>
      <c r="B10" s="120"/>
      <c r="C10" s="139">
        <v>0.3</v>
      </c>
      <c r="D10" s="129" t="s">
        <v>30</v>
      </c>
      <c r="E10" s="121" t="s">
        <v>28</v>
      </c>
      <c r="F10" s="122"/>
      <c r="G10" s="121"/>
      <c r="I10"/>
      <c r="J10"/>
    </row>
    <row r="12" spans="1:10" ht="15" x14ac:dyDescent="0.25">
      <c r="A12" s="44"/>
      <c r="B12" s="32"/>
      <c r="C12" s="45"/>
      <c r="D12" s="32"/>
      <c r="E12" s="32"/>
      <c r="F12" s="32"/>
      <c r="G12" s="31"/>
      <c r="H12"/>
      <c r="I12"/>
      <c r="J12"/>
    </row>
    <row r="13" spans="1:10" ht="19.350000000000001" customHeight="1" x14ac:dyDescent="0.25">
      <c r="A13" s="156" t="s">
        <v>167</v>
      </c>
      <c r="B13" s="156"/>
      <c r="C13" s="156"/>
      <c r="D13" s="157"/>
      <c r="E13"/>
      <c r="F13"/>
      <c r="G13" s="31"/>
      <c r="H13"/>
      <c r="I13"/>
      <c r="J13"/>
    </row>
    <row r="14" spans="1:10" ht="19.7" customHeight="1" x14ac:dyDescent="0.25">
      <c r="A14" s="120" t="s">
        <v>35</v>
      </c>
      <c r="B14" s="120" t="s">
        <v>36</v>
      </c>
      <c r="C14" s="136" t="s">
        <v>37</v>
      </c>
      <c r="D14" s="129" t="s">
        <v>2</v>
      </c>
      <c r="E14"/>
      <c r="F14"/>
      <c r="G14" s="31"/>
      <c r="H14"/>
      <c r="I14"/>
      <c r="J14"/>
    </row>
    <row r="15" spans="1:10" ht="19.350000000000001" customHeight="1" x14ac:dyDescent="0.25">
      <c r="A15" s="158" t="s">
        <v>67</v>
      </c>
      <c r="B15" s="158"/>
      <c r="C15" s="137">
        <f>'Do not change this Data'!C50*(1+'Do not change this Data'!C51%)</f>
        <v>72.373676216185089</v>
      </c>
      <c r="D15" s="137" t="s">
        <v>65</v>
      </c>
      <c r="E15"/>
      <c r="F15"/>
      <c r="G15" s="31"/>
      <c r="I15"/>
      <c r="J15"/>
    </row>
    <row r="16" spans="1:10" ht="15" x14ac:dyDescent="0.25">
      <c r="A16" s="54"/>
      <c r="B16" s="54"/>
      <c r="C16" s="54"/>
      <c r="D16" s="54"/>
      <c r="E16" s="54"/>
      <c r="F16" s="54"/>
      <c r="G16" s="54"/>
      <c r="H16" s="55"/>
      <c r="I16" s="55"/>
      <c r="J16" s="55"/>
    </row>
    <row r="17" spans="1:10" ht="15" x14ac:dyDescent="0.25">
      <c r="A17" s="48"/>
      <c r="B17" s="48"/>
      <c r="C17" s="48"/>
      <c r="D17" s="48"/>
      <c r="E17" s="48"/>
      <c r="F17" s="48"/>
      <c r="G17" s="48"/>
      <c r="H17" s="48"/>
      <c r="I17" s="48"/>
      <c r="J17" s="48"/>
    </row>
    <row r="18" spans="1:10" ht="25.7" customHeight="1" x14ac:dyDescent="0.35">
      <c r="A18" s="125" t="s">
        <v>168</v>
      </c>
      <c r="B18" s="125"/>
      <c r="C18" s="140">
        <f>C20*C10+C19/1000*C9</f>
        <v>776.6419194758821</v>
      </c>
      <c r="D18" s="131" t="s">
        <v>155</v>
      </c>
      <c r="E18" s="109"/>
      <c r="F18" s="132" t="s">
        <v>156</v>
      </c>
      <c r="G18" s="108"/>
      <c r="H18" s="148" t="s">
        <v>165</v>
      </c>
      <c r="I18" s="149">
        <f>I21*C10</f>
        <v>7272.1925187287152</v>
      </c>
      <c r="J18" s="150" t="s">
        <v>155</v>
      </c>
    </row>
    <row r="19" spans="1:10" ht="15" x14ac:dyDescent="0.25">
      <c r="A19" s="120" t="s">
        <v>157</v>
      </c>
      <c r="B19" s="120"/>
      <c r="C19" s="130">
        <f>'Do not change this Data'!B108</f>
        <v>100862.58694491976</v>
      </c>
      <c r="D19" s="129" t="s">
        <v>158</v>
      </c>
      <c r="E19" s="123"/>
      <c r="F19" s="123"/>
      <c r="G19"/>
      <c r="H19" s="120"/>
      <c r="I19" s="120"/>
      <c r="J19" s="120"/>
    </row>
    <row r="20" spans="1:10" ht="15" x14ac:dyDescent="0.25">
      <c r="A20" s="120" t="s">
        <v>159</v>
      </c>
      <c r="B20" s="120"/>
      <c r="C20" s="130">
        <v>907.76328250427775</v>
      </c>
      <c r="D20" s="129" t="s">
        <v>160</v>
      </c>
      <c r="E20" s="123"/>
      <c r="F20" s="123"/>
      <c r="G20"/>
      <c r="H20" s="120"/>
      <c r="I20" s="120"/>
      <c r="J20" s="120"/>
    </row>
    <row r="21" spans="1:10" ht="15" x14ac:dyDescent="0.25">
      <c r="A21" s="120" t="s">
        <v>60</v>
      </c>
      <c r="B21" s="120"/>
      <c r="C21" s="130">
        <f>C19*721/1000</f>
        <v>72721.925187287154</v>
      </c>
      <c r="D21" s="129" t="s">
        <v>160</v>
      </c>
      <c r="E21" s="123"/>
      <c r="F21" s="123"/>
      <c r="G21"/>
      <c r="H21" s="120" t="s">
        <v>161</v>
      </c>
      <c r="I21" s="130">
        <f>C21/3</f>
        <v>24240.641729095718</v>
      </c>
      <c r="J21" s="120" t="s">
        <v>160</v>
      </c>
    </row>
    <row r="22" spans="1:10" ht="8.25" customHeight="1" x14ac:dyDescent="0.25">
      <c r="A22" s="126"/>
      <c r="B22" s="123"/>
      <c r="C22" s="127"/>
      <c r="D22" s="123"/>
      <c r="E22" s="123"/>
      <c r="F22" s="123"/>
      <c r="G22"/>
      <c r="H22" s="128"/>
      <c r="I22" s="143"/>
      <c r="J22" s="128"/>
    </row>
    <row r="23" spans="1:10" ht="6.75" customHeight="1" x14ac:dyDescent="0.3">
      <c r="A23" s="109"/>
      <c r="B23" s="109"/>
      <c r="C23" s="110"/>
      <c r="D23" s="109"/>
      <c r="E23" s="109"/>
      <c r="F23" s="109"/>
      <c r="G23" s="111"/>
      <c r="H23" s="109"/>
      <c r="I23" s="144"/>
      <c r="J23" s="109"/>
    </row>
    <row r="24" spans="1:10" ht="35.25" customHeight="1" x14ac:dyDescent="0.25">
      <c r="A24" s="151" t="s">
        <v>171</v>
      </c>
      <c r="B24" s="133"/>
      <c r="C24" s="141">
        <f>I18-C18</f>
        <v>6495.5505992528333</v>
      </c>
      <c r="D24" s="134" t="s">
        <v>155</v>
      </c>
      <c r="E24"/>
      <c r="F24"/>
      <c r="G24"/>
      <c r="H24"/>
      <c r="I24" s="142"/>
      <c r="J24"/>
    </row>
    <row r="25" spans="1:10" ht="15" x14ac:dyDescent="0.25">
      <c r="A25"/>
      <c r="B25"/>
      <c r="C25" s="142"/>
      <c r="D25"/>
      <c r="E25"/>
      <c r="F25"/>
      <c r="G25"/>
      <c r="H25"/>
      <c r="I25" s="142"/>
      <c r="J25"/>
    </row>
    <row r="26" spans="1:10" ht="15" x14ac:dyDescent="0.25">
      <c r="A26"/>
      <c r="B26"/>
      <c r="C26" s="142"/>
      <c r="D26"/>
      <c r="E26"/>
      <c r="F26"/>
      <c r="G26"/>
      <c r="H26"/>
      <c r="I26" s="142"/>
      <c r="J26"/>
    </row>
    <row r="27" spans="1:10" ht="25.7" customHeight="1" x14ac:dyDescent="0.25">
      <c r="A27" s="125" t="s">
        <v>169</v>
      </c>
      <c r="B27" s="135"/>
      <c r="C27" s="140">
        <v>66054.523437826632</v>
      </c>
      <c r="D27" s="131" t="s">
        <v>166</v>
      </c>
      <c r="E27"/>
      <c r="F27"/>
      <c r="G27"/>
      <c r="H27" s="147" t="s">
        <v>162</v>
      </c>
      <c r="I27" s="145">
        <f>C27*7</f>
        <v>462381.6640647864</v>
      </c>
      <c r="J27" s="146"/>
    </row>
    <row r="28" spans="1:10" ht="15" x14ac:dyDescent="0.25">
      <c r="A28"/>
      <c r="B28" s="112"/>
      <c r="C28"/>
      <c r="D28"/>
      <c r="E28"/>
      <c r="F28"/>
      <c r="G28"/>
      <c r="H28"/>
      <c r="I28"/>
      <c r="J28"/>
    </row>
    <row r="29" spans="1:10" ht="66" customHeight="1" x14ac:dyDescent="0.2">
      <c r="A29" s="152" t="s">
        <v>172</v>
      </c>
      <c r="B29" s="152"/>
      <c r="C29" s="152"/>
      <c r="D29" s="152"/>
      <c r="E29" s="152"/>
      <c r="F29" s="152"/>
      <c r="G29" s="152"/>
      <c r="H29" s="152"/>
      <c r="I29" s="152"/>
      <c r="J29" s="152"/>
    </row>
    <row r="30" spans="1:10" ht="15" x14ac:dyDescent="0.25">
      <c r="A30" s="113" t="s">
        <v>170</v>
      </c>
      <c r="B30" s="113"/>
      <c r="C30" s="113"/>
      <c r="D30" s="113"/>
      <c r="E30" s="113"/>
      <c r="F30" s="113"/>
      <c r="G30" s="113"/>
      <c r="H30" s="113"/>
      <c r="I30" s="113"/>
      <c r="J30" s="113"/>
    </row>
    <row r="31" spans="1:10" ht="15" x14ac:dyDescent="0.25">
      <c r="A31" s="113"/>
      <c r="B31" s="113"/>
      <c r="C31" s="113"/>
      <c r="D31" s="113"/>
      <c r="E31" s="113"/>
      <c r="F31" s="113"/>
      <c r="G31" s="113"/>
      <c r="H31" s="113"/>
      <c r="I31" s="113"/>
      <c r="J31" s="113"/>
    </row>
    <row r="32" spans="1:10" ht="15" x14ac:dyDescent="0.25">
      <c r="A32" s="113"/>
      <c r="B32" s="113"/>
      <c r="C32" s="113"/>
      <c r="D32" s="113"/>
      <c r="E32" s="113"/>
      <c r="F32" s="113"/>
      <c r="G32" s="113"/>
      <c r="H32" s="113"/>
      <c r="I32" s="113"/>
      <c r="J32" s="113"/>
    </row>
    <row r="33" spans="1:10" ht="15" x14ac:dyDescent="0.25">
      <c r="A33" s="113"/>
      <c r="B33" s="113"/>
      <c r="C33" s="113"/>
      <c r="D33" s="113"/>
      <c r="E33" s="113"/>
      <c r="F33" s="113"/>
      <c r="G33" s="113"/>
      <c r="H33" s="113"/>
      <c r="I33" s="113"/>
      <c r="J33" s="113"/>
    </row>
  </sheetData>
  <sheetProtection selectLockedCells="1" selectUnlockedCells="1"/>
  <mergeCells count="6">
    <mergeCell ref="A29:J29"/>
    <mergeCell ref="A2:J2"/>
    <mergeCell ref="A1:J1"/>
    <mergeCell ref="A4:D4"/>
    <mergeCell ref="A13:D13"/>
    <mergeCell ref="A15:B15"/>
  </mergeCells>
  <pageMargins left="0.7" right="0.59166666666666667" top="0.88095238095238093" bottom="0.8571428571428571" header="0.3" footer="0.3"/>
  <pageSetup paperSize="9" scale="80" fitToWidth="0" fitToHeight="0" orientation="landscape" r:id="rId1"/>
  <headerFooter>
    <oddHeader>&amp;R&amp;G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4D68D-B25A-42B2-A09A-D33E03607E66}">
  <dimension ref="A1:J145"/>
  <sheetViews>
    <sheetView workbookViewId="0">
      <selection activeCell="G47" sqref="G47"/>
    </sheetView>
  </sheetViews>
  <sheetFormatPr baseColWidth="10" defaultRowHeight="15" x14ac:dyDescent="0.25"/>
  <cols>
    <col min="1" max="1" width="24.7109375" customWidth="1"/>
    <col min="2" max="2" width="8.7109375" customWidth="1"/>
    <col min="3" max="3" width="25.85546875" customWidth="1"/>
    <col min="4" max="4" width="7.85546875" customWidth="1"/>
    <col min="6" max="6" width="7" customWidth="1"/>
    <col min="7" max="7" width="23.42578125" customWidth="1"/>
    <col min="8" max="8" width="21.5703125" customWidth="1"/>
    <col min="9" max="10" width="25.28515625" customWidth="1"/>
  </cols>
  <sheetData>
    <row r="1" spans="1:10" ht="15.75" thickBot="1" x14ac:dyDescent="0.3"/>
    <row r="2" spans="1:10" ht="43.5" x14ac:dyDescent="0.25">
      <c r="A2" s="4" t="s">
        <v>0</v>
      </c>
      <c r="B2" s="5"/>
      <c r="C2" s="6" t="s">
        <v>1</v>
      </c>
      <c r="D2" s="7"/>
      <c r="I2" s="8"/>
      <c r="J2" s="8"/>
    </row>
    <row r="3" spans="1:10" x14ac:dyDescent="0.25">
      <c r="A3" s="9">
        <v>19</v>
      </c>
      <c r="B3" s="10" t="s">
        <v>2</v>
      </c>
      <c r="C3" s="10">
        <v>3.2</v>
      </c>
      <c r="D3" s="11" t="s">
        <v>3</v>
      </c>
    </row>
    <row r="4" spans="1:10" x14ac:dyDescent="0.25">
      <c r="A4" s="9">
        <v>20</v>
      </c>
      <c r="B4" s="10" t="s">
        <v>2</v>
      </c>
      <c r="C4" s="10">
        <v>3.3</v>
      </c>
      <c r="D4" s="11" t="s">
        <v>3</v>
      </c>
    </row>
    <row r="5" spans="1:10" x14ac:dyDescent="0.25">
      <c r="A5" s="9">
        <v>21</v>
      </c>
      <c r="B5" s="10" t="s">
        <v>2</v>
      </c>
      <c r="C5" s="10">
        <v>3.4</v>
      </c>
      <c r="D5" s="11" t="s">
        <v>3</v>
      </c>
    </row>
    <row r="6" spans="1:10" x14ac:dyDescent="0.25">
      <c r="A6" s="9">
        <v>22</v>
      </c>
      <c r="B6" s="10" t="s">
        <v>2</v>
      </c>
      <c r="C6" s="10">
        <v>3.5</v>
      </c>
      <c r="D6" s="11" t="s">
        <v>3</v>
      </c>
    </row>
    <row r="7" spans="1:10" x14ac:dyDescent="0.25">
      <c r="A7" s="9">
        <v>23</v>
      </c>
      <c r="B7" s="10" t="s">
        <v>2</v>
      </c>
      <c r="C7" s="10">
        <v>3.6</v>
      </c>
      <c r="D7" s="11" t="s">
        <v>3</v>
      </c>
    </row>
    <row r="8" spans="1:10" x14ac:dyDescent="0.25">
      <c r="A8" s="9">
        <v>24</v>
      </c>
      <c r="B8" s="10" t="s">
        <v>2</v>
      </c>
      <c r="C8" s="10">
        <v>3.7</v>
      </c>
      <c r="D8" s="11" t="s">
        <v>3</v>
      </c>
    </row>
    <row r="9" spans="1:10" x14ac:dyDescent="0.25">
      <c r="A9" s="9">
        <v>25</v>
      </c>
      <c r="B9" s="10" t="s">
        <v>2</v>
      </c>
      <c r="C9" s="10">
        <v>3.8</v>
      </c>
      <c r="D9" s="11" t="s">
        <v>3</v>
      </c>
    </row>
    <row r="10" spans="1:10" x14ac:dyDescent="0.25">
      <c r="A10" s="9">
        <v>26</v>
      </c>
      <c r="B10" s="10" t="s">
        <v>2</v>
      </c>
      <c r="C10" s="10">
        <v>3.9</v>
      </c>
      <c r="D10" s="11" t="s">
        <v>3</v>
      </c>
    </row>
    <row r="11" spans="1:10" x14ac:dyDescent="0.25">
      <c r="A11" s="9">
        <v>27</v>
      </c>
      <c r="B11" s="10" t="s">
        <v>2</v>
      </c>
      <c r="C11" s="10">
        <v>4</v>
      </c>
      <c r="D11" s="11" t="s">
        <v>3</v>
      </c>
    </row>
    <row r="12" spans="1:10" x14ac:dyDescent="0.25">
      <c r="A12" s="9">
        <v>28</v>
      </c>
      <c r="B12" s="10" t="s">
        <v>2</v>
      </c>
      <c r="C12" s="10">
        <v>4.0999999999999996</v>
      </c>
      <c r="D12" s="11" t="s">
        <v>3</v>
      </c>
    </row>
    <row r="13" spans="1:10" x14ac:dyDescent="0.25">
      <c r="A13" s="9">
        <v>29</v>
      </c>
      <c r="B13" s="10" t="s">
        <v>2</v>
      </c>
      <c r="C13" s="10">
        <v>4.2</v>
      </c>
      <c r="D13" s="11" t="s">
        <v>3</v>
      </c>
    </row>
    <row r="14" spans="1:10" x14ac:dyDescent="0.25">
      <c r="A14" s="9">
        <v>30</v>
      </c>
      <c r="B14" s="10" t="s">
        <v>2</v>
      </c>
      <c r="C14" s="10">
        <v>4.3</v>
      </c>
      <c r="D14" s="11" t="s">
        <v>3</v>
      </c>
    </row>
    <row r="15" spans="1:10" x14ac:dyDescent="0.25">
      <c r="A15" s="9">
        <v>31</v>
      </c>
      <c r="B15" s="10" t="s">
        <v>2</v>
      </c>
      <c r="C15" s="10">
        <v>4.4000000000000004</v>
      </c>
      <c r="D15" s="11" t="s">
        <v>3</v>
      </c>
    </row>
    <row r="16" spans="1:10" x14ac:dyDescent="0.25">
      <c r="A16" s="9">
        <v>32</v>
      </c>
      <c r="B16" s="10" t="s">
        <v>2</v>
      </c>
      <c r="C16" s="10">
        <v>4.5</v>
      </c>
      <c r="D16" s="11" t="s">
        <v>3</v>
      </c>
    </row>
    <row r="17" spans="1:7" x14ac:dyDescent="0.25">
      <c r="A17" s="9">
        <v>33</v>
      </c>
      <c r="B17" s="10" t="s">
        <v>2</v>
      </c>
      <c r="C17" s="10">
        <v>4.5999999999999996</v>
      </c>
      <c r="D17" s="11" t="s">
        <v>3</v>
      </c>
    </row>
    <row r="18" spans="1:7" x14ac:dyDescent="0.25">
      <c r="A18" s="9">
        <v>34</v>
      </c>
      <c r="B18" s="10" t="s">
        <v>2</v>
      </c>
      <c r="C18" s="10">
        <v>4.7</v>
      </c>
      <c r="D18" s="11" t="s">
        <v>3</v>
      </c>
    </row>
    <row r="19" spans="1:7" x14ac:dyDescent="0.25">
      <c r="A19" s="9">
        <v>35</v>
      </c>
      <c r="B19" s="10" t="s">
        <v>2</v>
      </c>
      <c r="C19" s="10">
        <v>4.8</v>
      </c>
      <c r="D19" s="11" t="s">
        <v>3</v>
      </c>
    </row>
    <row r="20" spans="1:7" x14ac:dyDescent="0.25">
      <c r="A20" s="9">
        <v>36</v>
      </c>
      <c r="B20" s="10" t="s">
        <v>2</v>
      </c>
      <c r="C20" s="10">
        <v>4.9000000000000004</v>
      </c>
      <c r="D20" s="11" t="s">
        <v>3</v>
      </c>
    </row>
    <row r="21" spans="1:7" x14ac:dyDescent="0.25">
      <c r="A21" s="9">
        <v>37</v>
      </c>
      <c r="B21" s="10" t="s">
        <v>2</v>
      </c>
      <c r="C21" s="10">
        <v>5</v>
      </c>
      <c r="D21" s="11" t="s">
        <v>3</v>
      </c>
    </row>
    <row r="22" spans="1:7" x14ac:dyDescent="0.25">
      <c r="A22" s="9">
        <v>38</v>
      </c>
      <c r="B22" s="10" t="s">
        <v>2</v>
      </c>
      <c r="C22" s="10">
        <v>5.0999999999999996</v>
      </c>
      <c r="D22" s="11" t="s">
        <v>3</v>
      </c>
    </row>
    <row r="23" spans="1:7" x14ac:dyDescent="0.25">
      <c r="A23" s="9">
        <v>39</v>
      </c>
      <c r="B23" s="10" t="s">
        <v>2</v>
      </c>
      <c r="C23" s="10">
        <v>5.2</v>
      </c>
      <c r="D23" s="11" t="s">
        <v>3</v>
      </c>
    </row>
    <row r="24" spans="1:7" ht="15.75" thickBot="1" x14ac:dyDescent="0.3">
      <c r="A24" s="12">
        <v>40</v>
      </c>
      <c r="B24" s="13" t="s">
        <v>2</v>
      </c>
      <c r="C24" s="13">
        <v>5.3</v>
      </c>
      <c r="D24" s="14" t="s">
        <v>3</v>
      </c>
    </row>
    <row r="28" spans="1:7" ht="15.75" thickBot="1" x14ac:dyDescent="0.3"/>
    <row r="29" spans="1:7" x14ac:dyDescent="0.25">
      <c r="A29" s="15" t="s">
        <v>4</v>
      </c>
      <c r="B29" s="16"/>
      <c r="C29" s="16"/>
      <c r="D29" s="16"/>
      <c r="E29" s="16"/>
      <c r="F29" s="16"/>
      <c r="G29" s="17"/>
    </row>
    <row r="30" spans="1:7" ht="60" x14ac:dyDescent="0.25">
      <c r="A30" s="18" t="s">
        <v>5</v>
      </c>
      <c r="B30" s="19" t="s">
        <v>6</v>
      </c>
      <c r="C30" s="19" t="s">
        <v>7</v>
      </c>
      <c r="D30" s="20" t="s">
        <v>8</v>
      </c>
      <c r="E30" s="20" t="s">
        <v>9</v>
      </c>
      <c r="F30" s="20" t="s">
        <v>10</v>
      </c>
      <c r="G30" s="21" t="s">
        <v>11</v>
      </c>
    </row>
    <row r="31" spans="1:7" ht="15.75" thickBot="1" x14ac:dyDescent="0.3">
      <c r="A31" s="22">
        <v>130.27261718913317</v>
      </c>
      <c r="B31" s="23">
        <f>IF(A31&gt;=100,0,600)</f>
        <v>0</v>
      </c>
      <c r="C31" s="23">
        <f>IF(B31&gt;=100,0,200)</f>
        <v>200</v>
      </c>
      <c r="D31" s="24">
        <f>A31-100</f>
        <v>30.272617189133172</v>
      </c>
      <c r="E31" s="24">
        <f>A31-D31</f>
        <v>100</v>
      </c>
      <c r="F31" s="23">
        <f>IF(B31&gt;=100,0,600)</f>
        <v>600</v>
      </c>
      <c r="G31" s="25">
        <f>(A31*B31)+(C31*D31)+(E31*F31)</f>
        <v>66054.523437826632</v>
      </c>
    </row>
    <row r="32" spans="1:7" x14ac:dyDescent="0.25">
      <c r="A32" s="26" t="s">
        <v>12</v>
      </c>
      <c r="B32" s="26"/>
      <c r="C32" s="26"/>
      <c r="D32" s="26"/>
      <c r="E32" s="26"/>
      <c r="F32" s="26"/>
      <c r="G32" s="26"/>
    </row>
    <row r="33" spans="1:8" x14ac:dyDescent="0.25">
      <c r="A33" s="26" t="s">
        <v>13</v>
      </c>
      <c r="B33" s="26"/>
      <c r="C33" s="26"/>
      <c r="D33" s="26"/>
      <c r="E33" s="26"/>
      <c r="F33" s="26"/>
      <c r="G33" s="26"/>
    </row>
    <row r="34" spans="1:8" x14ac:dyDescent="0.25">
      <c r="A34" s="26"/>
      <c r="B34" s="26"/>
      <c r="C34" s="26"/>
      <c r="D34" s="26"/>
      <c r="E34" s="26"/>
      <c r="F34" s="26"/>
      <c r="G34" s="26"/>
    </row>
    <row r="35" spans="1:8" s="1" customFormat="1" x14ac:dyDescent="0.25">
      <c r="A35" s="34" t="s">
        <v>31</v>
      </c>
      <c r="B35" s="35" t="s">
        <v>32</v>
      </c>
      <c r="C35" s="36">
        <f>Berechnung!C5*Berechnung!C6*Berechnung!C7</f>
        <v>15000</v>
      </c>
      <c r="D35" s="37" t="s">
        <v>33</v>
      </c>
      <c r="E35" s="38"/>
      <c r="F35" s="39"/>
      <c r="G35" s="39"/>
      <c r="H35" s="39"/>
    </row>
    <row r="36" spans="1:8" s="1" customFormat="1" ht="15.75" thickBot="1" x14ac:dyDescent="0.3">
      <c r="A36" s="40" t="s">
        <v>34</v>
      </c>
      <c r="B36" s="41" t="s">
        <v>24</v>
      </c>
      <c r="C36" s="42">
        <v>500</v>
      </c>
      <c r="D36" s="43" t="s">
        <v>19</v>
      </c>
      <c r="E36" s="38"/>
      <c r="F36" s="39"/>
      <c r="G36" s="39"/>
      <c r="H36" s="39"/>
    </row>
    <row r="37" spans="1:8" s="1" customFormat="1" x14ac:dyDescent="0.25">
      <c r="A37" s="117"/>
      <c r="B37" s="118"/>
      <c r="C37" s="119"/>
      <c r="D37" s="118"/>
      <c r="E37" s="38"/>
      <c r="F37" s="39"/>
      <c r="G37" s="39"/>
      <c r="H37" s="39"/>
    </row>
    <row r="38" spans="1:8" x14ac:dyDescent="0.25">
      <c r="A38" s="26"/>
      <c r="B38" s="26"/>
      <c r="C38" s="26"/>
      <c r="D38" s="26"/>
      <c r="E38" s="26"/>
      <c r="F38" s="26"/>
      <c r="G38" s="26"/>
    </row>
    <row r="39" spans="1:8" s="1" customFormat="1" x14ac:dyDescent="0.25">
      <c r="A39" s="27" t="s">
        <v>38</v>
      </c>
      <c r="B39" s="46" t="s">
        <v>39</v>
      </c>
      <c r="C39" s="46">
        <v>35</v>
      </c>
      <c r="D39" s="47" t="s">
        <v>40</v>
      </c>
      <c r="E39" s="33"/>
      <c r="F39" s="48"/>
      <c r="G39" s="48"/>
      <c r="H39" s="48"/>
    </row>
    <row r="40" spans="1:8" s="1" customFormat="1" x14ac:dyDescent="0.25">
      <c r="A40" s="27" t="s">
        <v>41</v>
      </c>
      <c r="B40" s="46" t="s">
        <v>42</v>
      </c>
      <c r="C40" s="46">
        <v>3.8</v>
      </c>
      <c r="D40" s="47" t="s">
        <v>43</v>
      </c>
      <c r="E40" s="33"/>
      <c r="F40" s="48"/>
      <c r="G40" s="48"/>
      <c r="H40" s="48"/>
    </row>
    <row r="41" spans="1:8" s="1" customFormat="1" x14ac:dyDescent="0.25">
      <c r="A41" s="27" t="s">
        <v>44</v>
      </c>
      <c r="B41" s="46" t="s">
        <v>45</v>
      </c>
      <c r="C41" s="46">
        <v>100</v>
      </c>
      <c r="D41" s="47" t="s">
        <v>40</v>
      </c>
      <c r="E41" s="33"/>
      <c r="F41" s="48"/>
      <c r="G41" s="48"/>
      <c r="H41" s="48"/>
    </row>
    <row r="42" spans="1:8" s="1" customFormat="1" x14ac:dyDescent="0.25">
      <c r="A42" s="27" t="s">
        <v>46</v>
      </c>
      <c r="B42" s="46" t="s">
        <v>47</v>
      </c>
      <c r="C42" s="49">
        <f>'Do not change this Data'!C73*1000</f>
        <v>7.2909627536920825</v>
      </c>
      <c r="D42" s="30" t="s">
        <v>48</v>
      </c>
      <c r="E42" s="33"/>
      <c r="F42" s="48"/>
      <c r="G42" s="48"/>
      <c r="H42" s="48"/>
    </row>
    <row r="43" spans="1:8" s="1" customFormat="1" x14ac:dyDescent="0.25">
      <c r="A43" s="27" t="s">
        <v>49</v>
      </c>
      <c r="B43" s="46" t="s">
        <v>50</v>
      </c>
      <c r="C43" s="49">
        <f>'Do not change this Data'!C74*1000</f>
        <v>11.090962753692082</v>
      </c>
      <c r="D43" s="30" t="s">
        <v>48</v>
      </c>
      <c r="E43" s="33"/>
      <c r="F43" s="48"/>
      <c r="G43" s="48"/>
      <c r="H43" s="48"/>
    </row>
    <row r="44" spans="1:8" s="1" customFormat="1" x14ac:dyDescent="0.25">
      <c r="A44" s="27" t="s">
        <v>49</v>
      </c>
      <c r="B44" s="46" t="s">
        <v>51</v>
      </c>
      <c r="C44" s="29">
        <f>'Do not change this Data'!C75</f>
        <v>94.8108383728501</v>
      </c>
      <c r="D44" s="30" t="s">
        <v>40</v>
      </c>
      <c r="E44" s="33"/>
      <c r="F44" s="48"/>
      <c r="G44" s="48"/>
      <c r="H44" s="48"/>
    </row>
    <row r="45" spans="1:8" s="1" customFormat="1" x14ac:dyDescent="0.25">
      <c r="A45" s="27" t="s">
        <v>52</v>
      </c>
      <c r="B45" s="46" t="s">
        <v>51</v>
      </c>
      <c r="C45" s="50">
        <f>IF(C44&gt;95,"more than max",C44)</f>
        <v>94.8108383728501</v>
      </c>
      <c r="D45" s="51" t="s">
        <v>40</v>
      </c>
      <c r="E45" s="52"/>
      <c r="F45" s="48"/>
      <c r="G45" s="48"/>
      <c r="H45" s="48"/>
    </row>
    <row r="46" spans="1:8" s="1" customFormat="1" x14ac:dyDescent="0.25">
      <c r="A46" s="27" t="s">
        <v>53</v>
      </c>
      <c r="B46" s="46" t="s">
        <v>54</v>
      </c>
      <c r="C46" s="53">
        <f>'Do not change this Data'!C86</f>
        <v>15.559842624197953</v>
      </c>
      <c r="D46" s="30" t="s">
        <v>2</v>
      </c>
      <c r="E46" s="33"/>
      <c r="F46" s="48"/>
      <c r="G46" s="48"/>
      <c r="H46" s="48"/>
    </row>
    <row r="47" spans="1:8" s="1" customFormat="1" x14ac:dyDescent="0.25">
      <c r="A47" s="27" t="s">
        <v>55</v>
      </c>
      <c r="B47" s="46" t="s">
        <v>36</v>
      </c>
      <c r="C47" s="53">
        <f>'Do not change this Data'!C87</f>
        <v>9.4401573758020465</v>
      </c>
      <c r="D47" s="30" t="s">
        <v>56</v>
      </c>
      <c r="E47" s="33"/>
      <c r="F47" s="48"/>
      <c r="G47" s="48"/>
      <c r="H47" s="48"/>
    </row>
    <row r="48" spans="1:8" s="1" customFormat="1" x14ac:dyDescent="0.25">
      <c r="A48" s="27" t="s">
        <v>57</v>
      </c>
      <c r="B48" s="46" t="s">
        <v>58</v>
      </c>
      <c r="C48" s="53">
        <f>'Do not change this Data'!C88</f>
        <v>65.691771941394222</v>
      </c>
      <c r="D48" s="30" t="s">
        <v>59</v>
      </c>
      <c r="E48" s="33"/>
      <c r="F48" s="48"/>
      <c r="G48" s="48"/>
      <c r="H48" s="48"/>
    </row>
    <row r="49" spans="1:8" s="1" customFormat="1" x14ac:dyDescent="0.25">
      <c r="A49" s="27" t="s">
        <v>60</v>
      </c>
      <c r="B49" s="46" t="s">
        <v>61</v>
      </c>
      <c r="C49" s="53">
        <f>'Do not change this Data'!C89</f>
        <v>46.566042096139874</v>
      </c>
      <c r="D49" s="30" t="s">
        <v>62</v>
      </c>
      <c r="E49" s="33"/>
      <c r="F49" s="48"/>
      <c r="G49" s="48"/>
      <c r="H49" s="48"/>
    </row>
    <row r="50" spans="1:8" s="1" customFormat="1" x14ac:dyDescent="0.25">
      <c r="A50" s="27" t="s">
        <v>63</v>
      </c>
      <c r="B50" s="27" t="s">
        <v>64</v>
      </c>
      <c r="C50" s="53">
        <f>'Do not change this Data'!C90</f>
        <v>65.794251105622806</v>
      </c>
      <c r="D50" s="30" t="s">
        <v>65</v>
      </c>
      <c r="E50" s="31"/>
      <c r="F50"/>
      <c r="G50"/>
      <c r="H50"/>
    </row>
    <row r="51" spans="1:8" s="1" customFormat="1" x14ac:dyDescent="0.25">
      <c r="A51" s="27" t="s">
        <v>66</v>
      </c>
      <c r="B51" s="27"/>
      <c r="C51" s="53">
        <v>10</v>
      </c>
      <c r="D51" s="30" t="s">
        <v>40</v>
      </c>
      <c r="E51" s="31"/>
      <c r="F51"/>
      <c r="G51"/>
      <c r="H51"/>
    </row>
    <row r="53" spans="1:8" x14ac:dyDescent="0.25">
      <c r="A53" s="27" t="s">
        <v>14</v>
      </c>
      <c r="B53" s="28"/>
      <c r="C53" s="29">
        <v>5</v>
      </c>
      <c r="D53" s="30" t="s">
        <v>15</v>
      </c>
    </row>
    <row r="54" spans="1:8" x14ac:dyDescent="0.25">
      <c r="A54" s="114"/>
      <c r="B54" s="115"/>
      <c r="C54" s="116"/>
      <c r="D54" s="115"/>
    </row>
    <row r="55" spans="1:8" x14ac:dyDescent="0.25">
      <c r="A55" s="114"/>
      <c r="B55" s="115"/>
      <c r="C55" s="116"/>
      <c r="D55" s="115"/>
    </row>
    <row r="57" spans="1:8" s="1" customFormat="1" ht="16.5" x14ac:dyDescent="0.3">
      <c r="A57" s="56" t="s">
        <v>68</v>
      </c>
      <c r="B57" s="54"/>
      <c r="C57" s="54"/>
      <c r="D57" s="54"/>
      <c r="E57" s="54"/>
      <c r="F57" s="55"/>
      <c r="G57" s="55"/>
      <c r="H57" s="55"/>
    </row>
    <row r="58" spans="1:8" s="1" customFormat="1" ht="16.5" x14ac:dyDescent="0.3">
      <c r="A58" s="57"/>
      <c r="B58" s="54"/>
      <c r="C58" s="54"/>
      <c r="D58" s="54"/>
      <c r="E58" s="54"/>
      <c r="F58" s="55"/>
      <c r="G58" s="55"/>
      <c r="H58" s="55"/>
    </row>
    <row r="59" spans="1:8" s="1" customFormat="1" x14ac:dyDescent="0.25">
      <c r="A59" s="54" t="s">
        <v>69</v>
      </c>
      <c r="B59" s="54" t="s">
        <v>70</v>
      </c>
      <c r="C59" s="54">
        <f>1013.25*((1-(0.0065*'Do not change this Data'!C36)/288.15)^5.255)</f>
        <v>954.61788007933478</v>
      </c>
      <c r="D59" s="54" t="s">
        <v>71</v>
      </c>
      <c r="E59" s="54"/>
      <c r="F59" s="55"/>
      <c r="G59" s="55"/>
      <c r="H59" s="55"/>
    </row>
    <row r="60" spans="1:8" s="1" customFormat="1" x14ac:dyDescent="0.25">
      <c r="A60" s="54"/>
      <c r="B60" s="54"/>
      <c r="C60" s="54"/>
      <c r="D60" s="54"/>
      <c r="E60" s="54"/>
      <c r="F60" s="55"/>
      <c r="G60" s="55"/>
      <c r="H60" s="55"/>
    </row>
    <row r="61" spans="1:8" s="1" customFormat="1" x14ac:dyDescent="0.25">
      <c r="A61" s="54" t="s">
        <v>72</v>
      </c>
      <c r="B61" s="54" t="s">
        <v>73</v>
      </c>
      <c r="C61" s="54">
        <v>287.05</v>
      </c>
      <c r="D61" s="54" t="s">
        <v>74</v>
      </c>
      <c r="E61" s="54"/>
      <c r="F61" s="55"/>
      <c r="G61" s="55"/>
      <c r="H61" s="55"/>
    </row>
    <row r="62" spans="1:8" s="1" customFormat="1" x14ac:dyDescent="0.25">
      <c r="A62" s="54" t="s">
        <v>75</v>
      </c>
      <c r="B62" s="54" t="s">
        <v>76</v>
      </c>
      <c r="C62" s="54">
        <v>461.53</v>
      </c>
      <c r="D62" s="54" t="s">
        <v>74</v>
      </c>
      <c r="E62" s="54"/>
      <c r="F62" s="55"/>
      <c r="G62" s="55"/>
      <c r="H62" s="55"/>
    </row>
    <row r="63" spans="1:8" s="1" customFormat="1" x14ac:dyDescent="0.25">
      <c r="A63" s="54"/>
      <c r="B63" s="54"/>
      <c r="C63" s="54"/>
      <c r="D63" s="54"/>
      <c r="E63" s="54"/>
      <c r="F63" s="55"/>
      <c r="G63" s="55"/>
      <c r="H63" s="55"/>
    </row>
    <row r="64" spans="1:8" s="1" customFormat="1" x14ac:dyDescent="0.25">
      <c r="A64" s="54" t="s">
        <v>77</v>
      </c>
      <c r="B64" s="54" t="s">
        <v>78</v>
      </c>
      <c r="C64" s="54">
        <f>(C59*100)/(C61*(273+Berechnung!C8))</f>
        <v>1.1159782981934192</v>
      </c>
      <c r="D64" s="54" t="s">
        <v>79</v>
      </c>
      <c r="E64" s="54"/>
      <c r="F64" s="55"/>
      <c r="G64" s="55"/>
      <c r="H64" s="55"/>
    </row>
    <row r="65" spans="1:8" s="1" customFormat="1" x14ac:dyDescent="0.25">
      <c r="A65" s="54" t="s">
        <v>77</v>
      </c>
      <c r="B65" s="54" t="s">
        <v>80</v>
      </c>
      <c r="C65" s="54">
        <f>(C59*100)/(C61*(273+'Do not change this Data'!C46))</f>
        <v>1.1524872270420041</v>
      </c>
      <c r="D65" s="54" t="s">
        <v>79</v>
      </c>
      <c r="E65" s="54"/>
      <c r="F65" s="55"/>
      <c r="G65" s="55"/>
      <c r="H65" s="55"/>
    </row>
    <row r="66" spans="1:8" s="1" customFormat="1" x14ac:dyDescent="0.25">
      <c r="A66" s="54"/>
      <c r="B66" s="54"/>
      <c r="C66" s="54"/>
      <c r="D66" s="54"/>
      <c r="E66" s="54"/>
      <c r="F66" s="55"/>
      <c r="G66" s="55"/>
      <c r="H66" s="55"/>
    </row>
    <row r="67" spans="1:8" s="1" customFormat="1" x14ac:dyDescent="0.25">
      <c r="A67" s="54" t="s">
        <v>81</v>
      </c>
      <c r="B67" s="54" t="s">
        <v>82</v>
      </c>
      <c r="C67" s="54">
        <f>'Do not change this Data'!C35*C64</f>
        <v>16739.67447290129</v>
      </c>
      <c r="D67" s="54" t="s">
        <v>83</v>
      </c>
      <c r="E67" s="54"/>
      <c r="F67" s="55"/>
      <c r="G67" s="55"/>
      <c r="H67" s="55"/>
    </row>
    <row r="68" spans="1:8" s="1" customFormat="1" x14ac:dyDescent="0.25">
      <c r="A68" s="54" t="s">
        <v>81</v>
      </c>
      <c r="B68" s="54" t="s">
        <v>84</v>
      </c>
      <c r="C68" s="54">
        <f>'Do not change this Data'!C35*C65</f>
        <v>17287.308405630061</v>
      </c>
      <c r="D68" s="54" t="s">
        <v>83</v>
      </c>
      <c r="E68" s="54"/>
      <c r="F68" s="55"/>
      <c r="G68" s="55"/>
      <c r="H68" s="55"/>
    </row>
    <row r="69" spans="1:8" s="1" customFormat="1" x14ac:dyDescent="0.25">
      <c r="A69" s="58" t="s">
        <v>85</v>
      </c>
      <c r="B69" s="54"/>
      <c r="C69" s="54">
        <f>C68*(1+0.00156)</f>
        <v>17314.276606742846</v>
      </c>
      <c r="D69" s="54" t="s">
        <v>83</v>
      </c>
      <c r="E69" s="54"/>
      <c r="F69" s="55"/>
      <c r="G69" s="55"/>
      <c r="H69" s="55"/>
    </row>
    <row r="70" spans="1:8" s="1" customFormat="1" x14ac:dyDescent="0.25">
      <c r="A70" s="54" t="s">
        <v>86</v>
      </c>
      <c r="B70" s="54" t="s">
        <v>87</v>
      </c>
      <c r="C70" s="54">
        <f>(611.2*EXP((17.62*Berechnung!C8)/(243.12+Berechnung!C8)) / 100000)*1000</f>
        <v>31.600569164883339</v>
      </c>
      <c r="D70" s="54" t="s">
        <v>88</v>
      </c>
      <c r="E70" s="54"/>
      <c r="F70" s="55"/>
      <c r="G70" s="55"/>
      <c r="H70" s="55"/>
    </row>
    <row r="71" spans="1:8" s="1" customFormat="1" x14ac:dyDescent="0.25">
      <c r="A71" s="54" t="s">
        <v>86</v>
      </c>
      <c r="B71" s="54" t="s">
        <v>89</v>
      </c>
      <c r="C71" s="54">
        <f>(611.2*EXP((17.62*'Do not change this Data'!C46)/(243.12+'Do not change this Data'!C46)) / 100000)*1000</f>
        <v>17.639030465419332</v>
      </c>
      <c r="D71" s="54" t="s">
        <v>88</v>
      </c>
      <c r="E71" s="54"/>
      <c r="F71" s="55"/>
      <c r="G71" s="55"/>
      <c r="H71" s="55"/>
    </row>
    <row r="72" spans="1:8" s="1" customFormat="1" x14ac:dyDescent="0.25">
      <c r="A72" s="54"/>
      <c r="B72" s="54"/>
      <c r="C72" s="54"/>
      <c r="D72" s="54"/>
      <c r="E72" s="54"/>
      <c r="F72" s="55"/>
      <c r="G72" s="55"/>
      <c r="H72" s="55"/>
    </row>
    <row r="73" spans="1:8" s="1" customFormat="1" x14ac:dyDescent="0.25">
      <c r="A73" s="54" t="s">
        <v>90</v>
      </c>
      <c r="B73" s="54" t="s">
        <v>47</v>
      </c>
      <c r="C73" s="54">
        <f>(0.622*('Do not change this Data'!C39/100)*C70)/(C59-(('Do not change this Data'!C39/100)*C70))</f>
        <v>7.2909627536920825E-3</v>
      </c>
      <c r="D73" s="54" t="s">
        <v>91</v>
      </c>
      <c r="E73" s="54"/>
      <c r="F73" s="55"/>
      <c r="G73" s="55"/>
      <c r="H73" s="55"/>
    </row>
    <row r="74" spans="1:8" s="1" customFormat="1" x14ac:dyDescent="0.25">
      <c r="A74" s="54" t="s">
        <v>90</v>
      </c>
      <c r="B74" s="54" t="s">
        <v>50</v>
      </c>
      <c r="C74" s="54">
        <f>C73+'Do not change this Data'!C40/1000</f>
        <v>1.1090962753692082E-2</v>
      </c>
      <c r="D74" s="54" t="s">
        <v>91</v>
      </c>
      <c r="E74" s="54"/>
      <c r="F74" s="55"/>
      <c r="G74" s="55"/>
      <c r="H74" s="55"/>
    </row>
    <row r="75" spans="1:8" s="1" customFormat="1" x14ac:dyDescent="0.25">
      <c r="A75" s="54" t="s">
        <v>49</v>
      </c>
      <c r="B75" s="54" t="s">
        <v>51</v>
      </c>
      <c r="C75" s="54">
        <f>(((C74*C59)/((0.622*C71)+(C74*C71))))*100</f>
        <v>94.8108383728501</v>
      </c>
      <c r="D75" s="54" t="s">
        <v>40</v>
      </c>
      <c r="E75" s="54"/>
      <c r="F75" s="55"/>
      <c r="G75" s="55"/>
      <c r="H75" s="55"/>
    </row>
    <row r="76" spans="1:8" s="1" customFormat="1" x14ac:dyDescent="0.25">
      <c r="A76" s="54"/>
      <c r="B76" s="54"/>
      <c r="C76" s="54"/>
      <c r="D76" s="54"/>
      <c r="E76" s="54"/>
      <c r="F76" s="55"/>
      <c r="G76" s="55"/>
      <c r="H76" s="55"/>
    </row>
    <row r="77" spans="1:8" s="1" customFormat="1" x14ac:dyDescent="0.25">
      <c r="A77" s="54"/>
      <c r="B77" s="54"/>
      <c r="C77" s="54"/>
      <c r="D77" s="54"/>
      <c r="E77" s="59"/>
      <c r="F77" s="55"/>
      <c r="G77" s="55"/>
      <c r="H77" s="55"/>
    </row>
    <row r="78" spans="1:8" s="1" customFormat="1" x14ac:dyDescent="0.25">
      <c r="A78" s="54" t="s">
        <v>92</v>
      </c>
      <c r="B78" s="54" t="s">
        <v>93</v>
      </c>
      <c r="C78" s="54">
        <f>1.005*Berechnung!C8+C73*(2501.6+(1.93*Berechnung!C8))</f>
        <v>43.715861377501753</v>
      </c>
      <c r="D78" s="54" t="s">
        <v>94</v>
      </c>
      <c r="E78" s="59"/>
      <c r="F78" s="55"/>
      <c r="G78" s="55"/>
      <c r="H78" s="55"/>
    </row>
    <row r="79" spans="1:8" s="1" customFormat="1" x14ac:dyDescent="0.25">
      <c r="A79" s="54" t="s">
        <v>92</v>
      </c>
      <c r="B79" s="54" t="s">
        <v>95</v>
      </c>
      <c r="C79" s="54">
        <f>1.005*'Do not change this Data'!C46+C73*(2501.6+(1.93*'Do not change this Data'!C46))</f>
        <v>34.095665491695883</v>
      </c>
      <c r="D79" s="54" t="s">
        <v>94</v>
      </c>
      <c r="E79" s="59"/>
      <c r="F79" s="55"/>
      <c r="G79" s="55"/>
      <c r="H79" s="55"/>
    </row>
    <row r="80" spans="1:8" s="1" customFormat="1" x14ac:dyDescent="0.25">
      <c r="A80" s="54" t="s">
        <v>96</v>
      </c>
      <c r="B80" s="54" t="s">
        <v>97</v>
      </c>
      <c r="C80" s="54">
        <f>1.005*'Do not change this Data'!C46+C74*(2501.6+(1.93*'Do not change this Data'!C46))</f>
        <v>43.715861377501753</v>
      </c>
      <c r="D80" s="54" t="s">
        <v>94</v>
      </c>
      <c r="E80" s="59"/>
      <c r="F80" s="55"/>
      <c r="G80" s="55"/>
      <c r="H80" s="55"/>
    </row>
    <row r="81" spans="1:8" s="1" customFormat="1" x14ac:dyDescent="0.25">
      <c r="A81" s="54" t="s">
        <v>98</v>
      </c>
      <c r="B81" s="54" t="s">
        <v>99</v>
      </c>
      <c r="C81" s="54">
        <v>0</v>
      </c>
      <c r="D81" s="54" t="s">
        <v>94</v>
      </c>
      <c r="E81" s="59"/>
      <c r="F81" s="55"/>
      <c r="G81" s="55"/>
      <c r="H81" s="55"/>
    </row>
    <row r="82" spans="1:8" s="1" customFormat="1" x14ac:dyDescent="0.25">
      <c r="A82" s="54"/>
      <c r="B82" s="54"/>
      <c r="C82" s="54"/>
      <c r="D82" s="54"/>
      <c r="E82" s="59"/>
      <c r="F82" s="55"/>
      <c r="G82" s="55"/>
      <c r="H82" s="55"/>
    </row>
    <row r="83" spans="1:8" s="1" customFormat="1" x14ac:dyDescent="0.25">
      <c r="A83" s="54"/>
      <c r="B83" s="54"/>
      <c r="C83" s="54"/>
      <c r="D83" s="54"/>
      <c r="E83" s="59"/>
      <c r="F83" s="55"/>
      <c r="G83" s="55"/>
      <c r="H83" s="55"/>
    </row>
    <row r="84" spans="1:8" s="1" customFormat="1" ht="16.5" x14ac:dyDescent="0.3">
      <c r="A84" s="56" t="s">
        <v>100</v>
      </c>
      <c r="B84" s="54"/>
      <c r="C84" s="54"/>
      <c r="D84" s="54"/>
      <c r="E84" s="59"/>
      <c r="F84" s="55"/>
      <c r="G84" s="55"/>
      <c r="H84" s="55"/>
    </row>
    <row r="85" spans="1:8" s="1" customFormat="1" x14ac:dyDescent="0.25">
      <c r="A85" s="54"/>
      <c r="B85" s="54"/>
      <c r="C85" s="54"/>
      <c r="D85" s="54"/>
      <c r="E85" s="59"/>
      <c r="F85" s="55"/>
      <c r="G85" s="55"/>
      <c r="H85" s="55"/>
    </row>
    <row r="86" spans="1:8" s="1" customFormat="1" x14ac:dyDescent="0.25">
      <c r="A86" s="54" t="s">
        <v>53</v>
      </c>
      <c r="B86" s="54" t="s">
        <v>54</v>
      </c>
      <c r="C86" s="54">
        <f>(C78-C74*2501.6)/(1.005+C74*1.93)</f>
        <v>15.559842624197953</v>
      </c>
      <c r="D86" s="54" t="s">
        <v>2</v>
      </c>
      <c r="E86" s="59"/>
      <c r="F86" s="55"/>
      <c r="G86" s="55"/>
      <c r="H86" s="55"/>
    </row>
    <row r="87" spans="1:8" s="1" customFormat="1" x14ac:dyDescent="0.25">
      <c r="A87" s="54" t="s">
        <v>55</v>
      </c>
      <c r="B87" s="54" t="s">
        <v>36</v>
      </c>
      <c r="C87" s="54">
        <f>Berechnung!C8-C86</f>
        <v>9.4401573758020465</v>
      </c>
      <c r="D87" s="54" t="s">
        <v>56</v>
      </c>
      <c r="E87" s="59"/>
      <c r="F87" s="55"/>
      <c r="G87" s="55"/>
      <c r="H87" s="55"/>
    </row>
    <row r="88" spans="1:8" s="1" customFormat="1" x14ac:dyDescent="0.25">
      <c r="A88" s="54" t="s">
        <v>57</v>
      </c>
      <c r="B88" s="54" t="s">
        <v>101</v>
      </c>
      <c r="C88" s="54">
        <f>C68*(C74-C73)</f>
        <v>65.691771941394222</v>
      </c>
      <c r="D88" s="54" t="s">
        <v>59</v>
      </c>
      <c r="E88" s="59"/>
      <c r="F88" s="55"/>
      <c r="G88" s="55"/>
      <c r="H88" s="55"/>
    </row>
    <row r="89" spans="1:8" s="1" customFormat="1" ht="15.75" thickBot="1" x14ac:dyDescent="0.3">
      <c r="A89" s="54" t="s">
        <v>60</v>
      </c>
      <c r="B89" s="54" t="s">
        <v>102</v>
      </c>
      <c r="C89" s="54">
        <f>((C78+C81-C79)*C68*0.28/1000)</f>
        <v>46.566042096139874</v>
      </c>
      <c r="D89" s="54" t="s">
        <v>62</v>
      </c>
      <c r="E89" s="59"/>
      <c r="F89" s="55"/>
      <c r="G89" s="55"/>
      <c r="H89" s="55"/>
    </row>
    <row r="90" spans="1:8" s="1" customFormat="1" ht="15.75" thickBot="1" x14ac:dyDescent="0.3">
      <c r="A90" s="60" t="s">
        <v>57</v>
      </c>
      <c r="B90" s="61" t="s">
        <v>103</v>
      </c>
      <c r="C90" s="62">
        <f>C69*(C74-C73)</f>
        <v>65.794251105622806</v>
      </c>
      <c r="D90" s="63" t="s">
        <v>65</v>
      </c>
      <c r="E90" s="59"/>
      <c r="F90" s="55"/>
      <c r="G90" s="55"/>
      <c r="H90" s="55"/>
    </row>
    <row r="93" spans="1:8" s="1" customFormat="1" x14ac:dyDescent="0.25">
      <c r="A93" s="64" t="s">
        <v>104</v>
      </c>
      <c r="B93" s="65"/>
      <c r="C93" s="66"/>
      <c r="D93" s="55"/>
      <c r="E93" s="55"/>
      <c r="F93" s="55"/>
      <c r="G93" s="55"/>
      <c r="H93" s="55"/>
    </row>
    <row r="94" spans="1:8" s="1" customFormat="1" x14ac:dyDescent="0.25">
      <c r="A94" s="67" t="s">
        <v>105</v>
      </c>
      <c r="B94" s="68">
        <v>1</v>
      </c>
      <c r="C94" s="66"/>
      <c r="D94" s="55"/>
      <c r="E94" s="55"/>
      <c r="F94" s="55"/>
      <c r="G94" s="55"/>
      <c r="H94" s="55"/>
    </row>
    <row r="95" spans="1:8" s="1" customFormat="1" x14ac:dyDescent="0.25">
      <c r="A95" s="64" t="s">
        <v>106</v>
      </c>
      <c r="B95" s="69">
        <v>0.1</v>
      </c>
      <c r="C95" s="55"/>
      <c r="D95" s="70" t="s">
        <v>107</v>
      </c>
      <c r="E95" s="71">
        <f>B115/4*B95</f>
        <v>219</v>
      </c>
      <c r="F95" s="55"/>
      <c r="G95" s="55"/>
      <c r="H95" s="55"/>
    </row>
    <row r="96" spans="1:8" s="1" customFormat="1" x14ac:dyDescent="0.25">
      <c r="A96" s="64" t="s">
        <v>108</v>
      </c>
      <c r="B96" s="69">
        <v>0.5</v>
      </c>
      <c r="C96" s="55"/>
      <c r="D96" s="70" t="str">
        <f>D95</f>
        <v>Laufzeit in h</v>
      </c>
      <c r="E96" s="71">
        <f>B115/4*B96</f>
        <v>1095</v>
      </c>
      <c r="F96" s="55"/>
      <c r="G96" s="55"/>
      <c r="H96" s="55"/>
    </row>
    <row r="97" spans="1:8" s="1" customFormat="1" x14ac:dyDescent="0.25">
      <c r="A97" s="64" t="s">
        <v>109</v>
      </c>
      <c r="B97" s="69">
        <v>0.1</v>
      </c>
      <c r="C97" s="55"/>
      <c r="D97" s="70" t="str">
        <f>D95</f>
        <v>Laufzeit in h</v>
      </c>
      <c r="E97" s="71">
        <f>B115/4*B97</f>
        <v>219</v>
      </c>
      <c r="F97" s="55"/>
      <c r="G97" s="55"/>
      <c r="H97" s="55"/>
    </row>
    <row r="98" spans="1:8" s="1" customFormat="1" x14ac:dyDescent="0.25">
      <c r="A98" s="64" t="s">
        <v>110</v>
      </c>
      <c r="B98" s="69">
        <v>0</v>
      </c>
      <c r="C98" s="55"/>
      <c r="D98" s="70" t="str">
        <f>D95</f>
        <v>Laufzeit in h</v>
      </c>
      <c r="E98" s="71">
        <f>B115/4*B98</f>
        <v>0</v>
      </c>
      <c r="F98" s="55"/>
      <c r="G98" s="55"/>
      <c r="H98" s="55"/>
    </row>
    <row r="99" spans="1:8" s="1" customFormat="1" x14ac:dyDescent="0.25">
      <c r="A99" s="64" t="s">
        <v>111</v>
      </c>
      <c r="B99" s="72">
        <v>0.2</v>
      </c>
      <c r="C99" s="66"/>
      <c r="D99" s="73"/>
      <c r="E99" s="74"/>
      <c r="F99" s="55"/>
      <c r="G99" s="55"/>
      <c r="H99" s="55"/>
    </row>
    <row r="100" spans="1:8" s="1" customFormat="1" ht="15.75" x14ac:dyDescent="0.25">
      <c r="A100" s="64" t="s">
        <v>112</v>
      </c>
      <c r="B100" s="72">
        <v>1.8</v>
      </c>
      <c r="C100" s="66"/>
      <c r="D100" s="75" t="s">
        <v>113</v>
      </c>
      <c r="E100" s="76"/>
      <c r="F100" s="55"/>
      <c r="G100" s="55"/>
      <c r="H100" s="55"/>
    </row>
    <row r="101" spans="1:8" s="1" customFormat="1" ht="15.75" x14ac:dyDescent="0.25">
      <c r="A101" s="64" t="s">
        <v>114</v>
      </c>
      <c r="B101" s="72">
        <v>3.7</v>
      </c>
      <c r="C101" s="66"/>
      <c r="D101" s="77" t="s">
        <v>115</v>
      </c>
      <c r="E101" s="78"/>
      <c r="F101" s="55"/>
      <c r="G101" s="55"/>
      <c r="H101" s="55"/>
    </row>
    <row r="102" spans="1:8" s="1" customFormat="1" x14ac:dyDescent="0.25">
      <c r="A102" s="64" t="s">
        <v>116</v>
      </c>
      <c r="B102" s="72">
        <v>0.3</v>
      </c>
      <c r="C102" s="66"/>
      <c r="D102" s="79" t="s">
        <v>117</v>
      </c>
      <c r="E102" s="80"/>
      <c r="F102" s="55"/>
      <c r="G102" s="55"/>
      <c r="H102" s="55"/>
    </row>
    <row r="103" spans="1:8" s="1" customFormat="1" x14ac:dyDescent="0.25">
      <c r="A103" s="64" t="s">
        <v>118</v>
      </c>
      <c r="B103" s="72">
        <v>20</v>
      </c>
      <c r="C103" s="66"/>
      <c r="D103" s="81" t="s">
        <v>119</v>
      </c>
      <c r="E103" s="82">
        <f>E95</f>
        <v>219</v>
      </c>
      <c r="F103" s="55"/>
      <c r="G103" s="55"/>
      <c r="H103" s="55"/>
    </row>
    <row r="104" spans="1:8" s="1" customFormat="1" x14ac:dyDescent="0.25">
      <c r="A104" s="64" t="s">
        <v>120</v>
      </c>
      <c r="B104" s="72">
        <v>0</v>
      </c>
      <c r="C104" s="66"/>
      <c r="D104" s="81" t="s">
        <v>121</v>
      </c>
      <c r="E104" s="82">
        <f>+B107*E95*B94</f>
        <v>14408.940992131395</v>
      </c>
      <c r="F104" s="55"/>
      <c r="G104" s="55"/>
      <c r="H104" s="55"/>
    </row>
    <row r="105" spans="1:8" s="1" customFormat="1" x14ac:dyDescent="0.25">
      <c r="A105" s="81"/>
      <c r="B105" s="66"/>
      <c r="C105" s="66"/>
      <c r="D105" s="83" t="s">
        <v>122</v>
      </c>
      <c r="E105" s="84">
        <f>+E104/1000</f>
        <v>14.408940992131395</v>
      </c>
      <c r="F105" s="55"/>
      <c r="G105" s="55"/>
      <c r="H105" s="55"/>
    </row>
    <row r="106" spans="1:8" s="1" customFormat="1" x14ac:dyDescent="0.25">
      <c r="A106" s="85" t="s">
        <v>123</v>
      </c>
      <c r="B106" s="86"/>
      <c r="C106" s="66"/>
      <c r="D106" s="87" t="s">
        <v>124</v>
      </c>
      <c r="E106" s="88">
        <f>+E95*B109</f>
        <v>31.699670182689072</v>
      </c>
      <c r="F106" s="55"/>
      <c r="G106" s="55"/>
      <c r="H106" s="55"/>
    </row>
    <row r="107" spans="1:8" s="1" customFormat="1" x14ac:dyDescent="0.25">
      <c r="A107" s="89" t="s">
        <v>125</v>
      </c>
      <c r="B107" s="90">
        <f>'Do not change this Data'!C50</f>
        <v>65.794251105622806</v>
      </c>
      <c r="C107" s="66"/>
      <c r="D107" s="91" t="s">
        <v>126</v>
      </c>
      <c r="E107" s="80"/>
      <c r="F107" s="55"/>
      <c r="G107" s="55"/>
      <c r="H107" s="55"/>
    </row>
    <row r="108" spans="1:8" s="1" customFormat="1" x14ac:dyDescent="0.25">
      <c r="A108" s="89" t="s">
        <v>127</v>
      </c>
      <c r="B108" s="90">
        <f>+B107*B113*B94</f>
        <v>100862.58694491976</v>
      </c>
      <c r="C108" s="66"/>
      <c r="D108" s="81" t="s">
        <v>119</v>
      </c>
      <c r="E108" s="82">
        <f>E96</f>
        <v>1095</v>
      </c>
      <c r="F108" s="55"/>
      <c r="G108" s="55"/>
      <c r="H108" s="55"/>
    </row>
    <row r="109" spans="1:8" s="1" customFormat="1" ht="26.25" x14ac:dyDescent="0.25">
      <c r="A109" s="92" t="s">
        <v>128</v>
      </c>
      <c r="B109" s="90">
        <f>2.2*B107/1000</f>
        <v>0.14474735243237019</v>
      </c>
      <c r="C109" s="66"/>
      <c r="D109" s="81" t="s">
        <v>121</v>
      </c>
      <c r="E109" s="82">
        <f>+B107*E96*B94</f>
        <v>72044.704960656978</v>
      </c>
      <c r="F109" s="55"/>
      <c r="G109" s="55"/>
      <c r="H109" s="55"/>
    </row>
    <row r="110" spans="1:8" s="1" customFormat="1" x14ac:dyDescent="0.25">
      <c r="A110" s="89" t="s">
        <v>129</v>
      </c>
      <c r="B110" s="90">
        <f>+B109*B113</f>
        <v>221.89769127882352</v>
      </c>
      <c r="C110" s="66"/>
      <c r="D110" s="83" t="s">
        <v>122</v>
      </c>
      <c r="E110" s="84">
        <f>+E109/1000</f>
        <v>72.044704960656972</v>
      </c>
      <c r="F110" s="55"/>
      <c r="G110" s="55"/>
      <c r="H110" s="55"/>
    </row>
    <row r="111" spans="1:8" s="1" customFormat="1" x14ac:dyDescent="0.25">
      <c r="A111" s="89"/>
      <c r="B111" s="90"/>
      <c r="C111" s="66"/>
      <c r="D111" s="87" t="s">
        <v>124</v>
      </c>
      <c r="E111" s="88">
        <f>+E96*B109</f>
        <v>158.49835091344536</v>
      </c>
      <c r="F111" s="55"/>
      <c r="G111" s="55"/>
      <c r="H111" s="55"/>
    </row>
    <row r="112" spans="1:8" s="1" customFormat="1" x14ac:dyDescent="0.25">
      <c r="A112" s="89"/>
      <c r="B112" s="90"/>
      <c r="C112" s="66"/>
      <c r="D112" s="79" t="s">
        <v>130</v>
      </c>
      <c r="E112" s="93"/>
      <c r="F112" s="55"/>
      <c r="G112" s="55"/>
      <c r="H112" s="55"/>
    </row>
    <row r="113" spans="1:8" s="1" customFormat="1" x14ac:dyDescent="0.25">
      <c r="A113" s="89" t="s">
        <v>131</v>
      </c>
      <c r="B113" s="90">
        <f>E95+E96+E97+E98</f>
        <v>1533</v>
      </c>
      <c r="C113" s="66"/>
      <c r="D113" s="81" t="s">
        <v>119</v>
      </c>
      <c r="E113" s="82">
        <f>E97</f>
        <v>219</v>
      </c>
      <c r="F113" s="55"/>
      <c r="G113" s="55"/>
      <c r="H113" s="55"/>
    </row>
    <row r="114" spans="1:8" s="1" customFormat="1" x14ac:dyDescent="0.25">
      <c r="A114" s="89" t="s">
        <v>132</v>
      </c>
      <c r="B114" s="90">
        <v>365</v>
      </c>
      <c r="C114" s="66"/>
      <c r="D114" s="81" t="s">
        <v>121</v>
      </c>
      <c r="E114" s="82">
        <f>+B107*E97*B94</f>
        <v>14408.940992131395</v>
      </c>
      <c r="F114" s="55"/>
      <c r="G114" s="55"/>
      <c r="H114" s="55"/>
    </row>
    <row r="115" spans="1:8" s="1" customFormat="1" x14ac:dyDescent="0.25">
      <c r="A115" s="89" t="s">
        <v>133</v>
      </c>
      <c r="B115" s="90">
        <f>+B114*24</f>
        <v>8760</v>
      </c>
      <c r="C115" s="66"/>
      <c r="D115" s="83" t="s">
        <v>122</v>
      </c>
      <c r="E115" s="84">
        <f>+E114/1000</f>
        <v>14.408940992131395</v>
      </c>
      <c r="F115" s="55"/>
      <c r="G115" s="55"/>
      <c r="H115" s="55"/>
    </row>
    <row r="116" spans="1:8" s="1" customFormat="1" x14ac:dyDescent="0.25">
      <c r="A116" s="81"/>
      <c r="B116" s="66"/>
      <c r="C116" s="66"/>
      <c r="D116" s="87" t="s">
        <v>124</v>
      </c>
      <c r="E116" s="88">
        <f>+B109*E97</f>
        <v>31.699670182689072</v>
      </c>
      <c r="F116" s="55"/>
      <c r="G116" s="55"/>
      <c r="H116" s="55"/>
    </row>
    <row r="117" spans="1:8" s="1" customFormat="1" x14ac:dyDescent="0.25">
      <c r="A117" s="81" t="s">
        <v>134</v>
      </c>
      <c r="B117" s="94">
        <v>0</v>
      </c>
      <c r="C117" s="66"/>
      <c r="D117" s="91" t="s">
        <v>135</v>
      </c>
      <c r="E117" s="95"/>
      <c r="F117" s="55"/>
      <c r="G117" s="55"/>
      <c r="H117" s="55"/>
    </row>
    <row r="118" spans="1:8" s="1" customFormat="1" ht="15.75" thickBot="1" x14ac:dyDescent="0.3">
      <c r="A118" s="96" t="s">
        <v>136</v>
      </c>
      <c r="B118" s="97">
        <f>SUM(B117*B99)</f>
        <v>0</v>
      </c>
      <c r="C118" s="66"/>
      <c r="D118" s="81" t="s">
        <v>119</v>
      </c>
      <c r="E118" s="82">
        <f>E98</f>
        <v>0</v>
      </c>
      <c r="F118" s="55"/>
      <c r="G118" s="55"/>
      <c r="H118" s="55"/>
    </row>
    <row r="119" spans="1:8" s="1" customFormat="1" ht="15.75" thickTop="1" x14ac:dyDescent="0.25">
      <c r="A119" s="81"/>
      <c r="B119" s="94"/>
      <c r="C119" s="66"/>
      <c r="D119" s="81" t="s">
        <v>121</v>
      </c>
      <c r="E119" s="82">
        <f>+B107*E98*B94</f>
        <v>0</v>
      </c>
      <c r="F119" s="55"/>
      <c r="G119" s="55"/>
      <c r="H119" s="55"/>
    </row>
    <row r="120" spans="1:8" s="1" customFormat="1" x14ac:dyDescent="0.25">
      <c r="A120" s="81" t="s">
        <v>137</v>
      </c>
      <c r="B120" s="94">
        <v>0</v>
      </c>
      <c r="C120" s="66"/>
      <c r="D120" s="83" t="s">
        <v>122</v>
      </c>
      <c r="E120" s="84">
        <f>+E119/1000</f>
        <v>0</v>
      </c>
      <c r="F120" s="55"/>
      <c r="G120" s="55"/>
      <c r="H120" s="55"/>
    </row>
    <row r="121" spans="1:8" s="1" customFormat="1" ht="15.75" thickBot="1" x14ac:dyDescent="0.3">
      <c r="A121" s="96" t="s">
        <v>138</v>
      </c>
      <c r="B121" s="97">
        <f>SUM(B120*B99)</f>
        <v>0</v>
      </c>
      <c r="C121" s="66"/>
      <c r="D121" s="87" t="s">
        <v>124</v>
      </c>
      <c r="E121" s="88">
        <f>+B109*E98</f>
        <v>0</v>
      </c>
      <c r="F121" s="55"/>
      <c r="G121" s="55"/>
      <c r="H121" s="55"/>
    </row>
    <row r="122" spans="1:8" s="1" customFormat="1" ht="15.75" thickTop="1" x14ac:dyDescent="0.25">
      <c r="A122" s="81"/>
      <c r="B122" s="94"/>
      <c r="C122" s="66"/>
      <c r="D122" s="55"/>
      <c r="E122" s="55"/>
      <c r="F122" s="55"/>
      <c r="G122" s="55"/>
      <c r="H122" s="66"/>
    </row>
    <row r="123" spans="1:8" s="1" customFormat="1" x14ac:dyDescent="0.25">
      <c r="A123" s="81" t="s">
        <v>139</v>
      </c>
      <c r="B123" s="94">
        <f>+E106+E111+E116+E121</f>
        <v>221.89769127882349</v>
      </c>
      <c r="C123" s="66"/>
      <c r="D123" s="55"/>
      <c r="E123" s="55"/>
      <c r="F123" s="55"/>
      <c r="G123" s="55"/>
      <c r="H123" s="66"/>
    </row>
    <row r="124" spans="1:8" s="1" customFormat="1" ht="15.75" thickBot="1" x14ac:dyDescent="0.3">
      <c r="A124" s="96" t="s">
        <v>140</v>
      </c>
      <c r="B124" s="97">
        <f>+B123*B99</f>
        <v>44.3795382557647</v>
      </c>
      <c r="C124" s="66"/>
      <c r="D124" s="55"/>
      <c r="E124" s="55"/>
      <c r="F124" s="55"/>
      <c r="G124" s="55"/>
      <c r="H124" s="98" t="s">
        <v>141</v>
      </c>
    </row>
    <row r="125" spans="1:8" s="1" customFormat="1" ht="15.75" thickTop="1" x14ac:dyDescent="0.25">
      <c r="A125" s="81"/>
      <c r="B125" s="94"/>
      <c r="C125" s="66"/>
      <c r="D125" s="55"/>
      <c r="E125" s="55"/>
      <c r="F125" s="55"/>
      <c r="G125" s="55"/>
      <c r="H125" s="98" t="s">
        <v>142</v>
      </c>
    </row>
    <row r="126" spans="1:8" s="1" customFormat="1" x14ac:dyDescent="0.25">
      <c r="A126" s="81" t="s">
        <v>143</v>
      </c>
      <c r="B126" s="94">
        <f>B112</f>
        <v>0</v>
      </c>
      <c r="C126" s="66"/>
      <c r="D126" s="55"/>
      <c r="E126" s="55"/>
      <c r="F126" s="55"/>
      <c r="G126" s="55"/>
      <c r="H126" s="98"/>
    </row>
    <row r="127" spans="1:8" s="1" customFormat="1" ht="15.75" thickBot="1" x14ac:dyDescent="0.3">
      <c r="A127" s="96" t="s">
        <v>144</v>
      </c>
      <c r="B127" s="97">
        <f>+B126*B99</f>
        <v>0</v>
      </c>
      <c r="C127" s="66"/>
      <c r="D127" s="55"/>
      <c r="E127" s="55"/>
      <c r="F127" s="55"/>
      <c r="G127" s="55"/>
      <c r="H127" s="55"/>
    </row>
    <row r="128" spans="1:8" s="1" customFormat="1" ht="15.75" thickTop="1" x14ac:dyDescent="0.25">
      <c r="A128" s="81"/>
      <c r="B128" s="94"/>
      <c r="C128" s="66"/>
      <c r="D128" s="55"/>
      <c r="E128" s="55"/>
      <c r="F128" s="55"/>
      <c r="G128" s="55"/>
      <c r="H128" s="55"/>
    </row>
    <row r="129" spans="1:8" s="1" customFormat="1" x14ac:dyDescent="0.25">
      <c r="A129" s="81" t="s">
        <v>145</v>
      </c>
      <c r="B129" s="94">
        <f>+E105+E110+E115+E120</f>
        <v>100.86258694491976</v>
      </c>
      <c r="C129" s="66"/>
      <c r="D129" s="55"/>
      <c r="E129" s="55"/>
      <c r="F129" s="55"/>
      <c r="G129" s="55"/>
      <c r="H129" s="55"/>
    </row>
    <row r="130" spans="1:8" s="1" customFormat="1" x14ac:dyDescent="0.25">
      <c r="A130" s="81" t="s">
        <v>146</v>
      </c>
      <c r="B130" s="94"/>
      <c r="C130" s="66"/>
      <c r="D130" s="55"/>
      <c r="E130" s="55"/>
      <c r="F130" s="55"/>
      <c r="G130" s="55"/>
      <c r="H130" s="55"/>
    </row>
    <row r="131" spans="1:8" s="1" customFormat="1" x14ac:dyDescent="0.25">
      <c r="A131" s="99" t="s">
        <v>147</v>
      </c>
      <c r="B131" s="94">
        <v>0</v>
      </c>
      <c r="C131" s="66"/>
      <c r="D131" s="55"/>
      <c r="E131" s="55"/>
      <c r="F131" s="55"/>
      <c r="G131" s="55"/>
      <c r="H131" s="55"/>
    </row>
    <row r="132" spans="1:8" s="1" customFormat="1" x14ac:dyDescent="0.25">
      <c r="A132" s="81" t="s">
        <v>148</v>
      </c>
      <c r="B132" s="94"/>
      <c r="C132" s="66"/>
      <c r="D132" s="55"/>
      <c r="E132" s="55"/>
      <c r="F132" s="55"/>
      <c r="G132" s="55"/>
      <c r="H132" s="55"/>
    </row>
    <row r="133" spans="1:8" s="1" customFormat="1" x14ac:dyDescent="0.25">
      <c r="A133" s="99" t="s">
        <v>149</v>
      </c>
      <c r="B133" s="94">
        <v>0</v>
      </c>
      <c r="C133" s="66"/>
      <c r="D133" s="55"/>
      <c r="E133" s="55"/>
      <c r="F133" s="55"/>
      <c r="G133" s="55"/>
      <c r="H133" s="55"/>
    </row>
    <row r="134" spans="1:8" s="1" customFormat="1" ht="15.75" thickBot="1" x14ac:dyDescent="0.3">
      <c r="A134" s="96" t="s">
        <v>150</v>
      </c>
      <c r="B134" s="97">
        <f>B129*B100+B131*B101+B133*B101</f>
        <v>181.55265650085556</v>
      </c>
      <c r="C134" s="66"/>
      <c r="D134" s="55"/>
      <c r="E134" s="55"/>
      <c r="F134" s="55"/>
      <c r="G134" s="55"/>
      <c r="H134" s="55"/>
    </row>
    <row r="135" spans="1:8" s="1" customFormat="1" ht="15.75" thickTop="1" x14ac:dyDescent="0.25">
      <c r="A135" s="81"/>
      <c r="B135" s="94"/>
      <c r="C135" s="66"/>
      <c r="D135" s="55"/>
      <c r="E135" s="55"/>
      <c r="F135" s="55"/>
      <c r="G135" s="55"/>
      <c r="H135" s="55"/>
    </row>
    <row r="136" spans="1:8" s="1" customFormat="1" x14ac:dyDescent="0.25">
      <c r="A136" s="81" t="s">
        <v>151</v>
      </c>
      <c r="B136" s="94">
        <v>0</v>
      </c>
      <c r="C136" s="66"/>
      <c r="D136" s="55"/>
      <c r="E136" s="55"/>
      <c r="F136" s="55"/>
      <c r="G136" s="55"/>
      <c r="H136" s="55"/>
    </row>
    <row r="137" spans="1:8" s="1" customFormat="1" ht="15.75" thickBot="1" x14ac:dyDescent="0.3">
      <c r="A137" s="96" t="s">
        <v>152</v>
      </c>
      <c r="B137" s="97">
        <f>SUM(B136*B102)</f>
        <v>0</v>
      </c>
      <c r="C137" s="66"/>
      <c r="D137" s="55"/>
      <c r="E137" s="55"/>
      <c r="F137" s="55"/>
      <c r="G137" s="55"/>
      <c r="H137" s="55"/>
    </row>
    <row r="138" spans="1:8" s="1" customFormat="1" ht="15.75" thickTop="1" x14ac:dyDescent="0.25">
      <c r="A138" s="81"/>
      <c r="B138" s="94"/>
      <c r="C138" s="66"/>
      <c r="D138" s="55"/>
      <c r="E138" s="55"/>
      <c r="F138" s="55"/>
      <c r="G138" s="55"/>
      <c r="H138" s="55"/>
    </row>
    <row r="139" spans="1:8" s="1" customFormat="1" x14ac:dyDescent="0.25">
      <c r="A139" s="83"/>
      <c r="B139" s="100"/>
      <c r="C139" s="66"/>
      <c r="D139" s="55"/>
      <c r="E139" s="55"/>
      <c r="F139" s="55"/>
      <c r="G139" s="55"/>
      <c r="H139" s="55"/>
    </row>
    <row r="140" spans="1:8" s="1" customFormat="1" x14ac:dyDescent="0.25">
      <c r="A140" s="81"/>
      <c r="B140" s="94"/>
      <c r="C140" s="66"/>
      <c r="D140" s="55"/>
      <c r="E140" s="55"/>
      <c r="F140" s="55"/>
      <c r="G140" s="55"/>
      <c r="H140" s="55"/>
    </row>
    <row r="141" spans="1:8" s="1" customFormat="1" ht="16.5" thickBot="1" x14ac:dyDescent="0.3">
      <c r="A141" s="101" t="s">
        <v>150</v>
      </c>
      <c r="B141" s="102">
        <f>B134</f>
        <v>181.55265650085556</v>
      </c>
      <c r="C141" s="66"/>
      <c r="D141" s="55"/>
      <c r="E141" s="55"/>
      <c r="F141" s="55"/>
      <c r="G141" s="55"/>
      <c r="H141" s="55"/>
    </row>
    <row r="142" spans="1:8" s="1" customFormat="1" ht="16.5" thickTop="1" x14ac:dyDescent="0.25">
      <c r="A142" s="103"/>
      <c r="B142" s="104"/>
      <c r="C142" s="66"/>
      <c r="D142" s="55"/>
      <c r="E142" s="55"/>
      <c r="F142" s="55"/>
      <c r="G142" s="55"/>
      <c r="H142" s="55"/>
    </row>
    <row r="143" spans="1:8" s="1" customFormat="1" ht="16.5" thickBot="1" x14ac:dyDescent="0.3">
      <c r="A143" s="101" t="s">
        <v>153</v>
      </c>
      <c r="B143" s="102">
        <f>SUM(B118+B121+B124+B127)</f>
        <v>44.3795382557647</v>
      </c>
      <c r="C143" s="66"/>
      <c r="D143" s="55"/>
      <c r="E143" s="55"/>
      <c r="F143" s="55"/>
      <c r="G143" s="55"/>
      <c r="H143" s="55"/>
    </row>
    <row r="144" spans="1:8" s="1" customFormat="1" ht="15.75" thickTop="1" x14ac:dyDescent="0.25">
      <c r="A144" s="81"/>
      <c r="B144" s="66"/>
      <c r="C144" s="66"/>
      <c r="D144" s="55"/>
      <c r="E144" s="55"/>
      <c r="F144" s="55"/>
      <c r="G144" s="55"/>
      <c r="H144" s="55"/>
    </row>
    <row r="145" spans="1:8" s="1" customFormat="1" ht="15.75" x14ac:dyDescent="0.25">
      <c r="A145" s="105" t="s">
        <v>154</v>
      </c>
      <c r="B145" s="106">
        <f>B137+B141+B143</f>
        <v>225.93219475662028</v>
      </c>
      <c r="C145" s="107"/>
      <c r="D145" s="55"/>
      <c r="E145" s="55"/>
      <c r="F145" s="55"/>
      <c r="G145" s="55"/>
      <c r="H145" s="55"/>
    </row>
  </sheetData>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Berechnung</vt:lpstr>
      <vt:lpstr>Do not change this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HUMER</dc:creator>
  <cp:lastModifiedBy>SILVIO HASLINGER</cp:lastModifiedBy>
  <cp:lastPrinted>2024-05-27T07:10:33Z</cp:lastPrinted>
  <dcterms:created xsi:type="dcterms:W3CDTF">2017-09-13T12:43:08Z</dcterms:created>
  <dcterms:modified xsi:type="dcterms:W3CDTF">2024-05-27T09:37:52Z</dcterms:modified>
</cp:coreProperties>
</file>