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Thomas\Desktop\"/>
    </mc:Choice>
  </mc:AlternateContent>
  <xr:revisionPtr revIDLastSave="0" documentId="8_{0CDEF6DA-9960-4A8F-8298-CD18C6B887A1}" xr6:coauthVersionLast="47" xr6:coauthVersionMax="47" xr10:uidLastSave="{00000000-0000-0000-0000-000000000000}"/>
  <workbookProtection workbookAlgorithmName="SHA-512" workbookHashValue="U1WDwX49Ep3uZi/XrJqrafJS7RSkN7Wn4+7qbJtJXL3ajZB6Xr+z8IqQmB2vWREdZ3T46OzncgL9LMOpO+oLwA==" workbookSaltValue="Yom64Hogu2opOYH+n/NbUA==" workbookSpinCount="100000" lockStructure="1"/>
  <bookViews>
    <workbookView xWindow="-108" yWindow="-108" windowWidth="30936" windowHeight="17040" xr2:uid="{00000000-000D-0000-FFFF-FFFF00000000}"/>
  </bookViews>
  <sheets>
    <sheet name="Berechnung" sheetId="5" r:id="rId1"/>
    <sheet name="Do not change this Data" sheetId="7"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7" i="7" l="1"/>
  <c r="C36" i="7"/>
  <c r="C35" i="7"/>
  <c r="C8" i="7"/>
  <c r="C9" i="7"/>
  <c r="C70" i="7" s="1"/>
  <c r="C10" i="7"/>
  <c r="C11" i="7"/>
  <c r="C12" i="7"/>
  <c r="C7" i="7"/>
  <c r="C2" i="7"/>
  <c r="C53" i="7"/>
  <c r="C66" i="7" l="1"/>
  <c r="C69" i="7" s="1"/>
  <c r="C58" i="7"/>
  <c r="C62" i="7" s="1"/>
  <c r="C68" i="7"/>
  <c r="C72" i="7" s="1"/>
  <c r="C15" i="7" s="1"/>
  <c r="C74" i="7"/>
  <c r="C59" i="7"/>
  <c r="C64" i="7" s="1"/>
  <c r="C60" i="7" l="1"/>
  <c r="C18" i="7"/>
  <c r="C73" i="7"/>
  <c r="C77" i="7"/>
  <c r="C63" i="7"/>
  <c r="C84" i="7" l="1"/>
  <c r="C23" i="7" s="1"/>
  <c r="C78" i="7"/>
  <c r="C82" i="7" s="1"/>
  <c r="C76" i="7"/>
  <c r="C16" i="7"/>
  <c r="C17" i="7"/>
  <c r="C85" i="7"/>
  <c r="C25" i="7"/>
  <c r="C15" i="5" l="1"/>
  <c r="C30" i="7"/>
  <c r="C39" i="7" s="1"/>
  <c r="C81" i="7"/>
  <c r="C20" i="7" s="1"/>
  <c r="C21" i="7"/>
  <c r="C41" i="7"/>
  <c r="I18" i="5" s="1"/>
  <c r="C27" i="7"/>
  <c r="C83" i="7" l="1"/>
  <c r="C22" i="7" s="1"/>
  <c r="C47" i="7"/>
  <c r="C18" i="5"/>
  <c r="C40" i="7"/>
  <c r="C17" i="5" s="1"/>
  <c r="C42" i="7"/>
  <c r="I17" i="5" s="1"/>
  <c r="C43" i="7"/>
  <c r="C21" i="5" s="1"/>
  <c r="C48" i="7"/>
  <c r="C49" i="7" l="1"/>
  <c r="C44" i="7"/>
  <c r="C20" i="5" s="1"/>
  <c r="B157" i="7" l="1"/>
  <c r="B146" i="7"/>
  <c r="B147" i="7" s="1"/>
  <c r="B141" i="7"/>
  <c r="B138" i="7"/>
  <c r="B135" i="7"/>
  <c r="B133" i="7" l="1"/>
  <c r="B127" i="7" l="1"/>
  <c r="B129" i="7" l="1"/>
  <c r="B128" i="7"/>
  <c r="B149" i="7" l="1"/>
  <c r="B154" i="7" s="1"/>
  <c r="B161" i="7" s="1"/>
  <c r="B130" i="7"/>
  <c r="B143" i="7" l="1"/>
  <c r="B144" i="7" s="1"/>
  <c r="B163" i="7" s="1"/>
  <c r="B165" i="7" s="1"/>
</calcChain>
</file>

<file path=xl/sharedStrings.xml><?xml version="1.0" encoding="utf-8"?>
<sst xmlns="http://schemas.openxmlformats.org/spreadsheetml/2006/main" count="260" uniqueCount="171">
  <si>
    <t>[°C]</t>
  </si>
  <si>
    <t>[m]</t>
  </si>
  <si>
    <t>H</t>
  </si>
  <si>
    <t>T1</t>
  </si>
  <si>
    <t>Stromkosten</t>
  </si>
  <si>
    <t>[€/kW]</t>
  </si>
  <si>
    <t>V</t>
  </si>
  <si>
    <t>[m³]</t>
  </si>
  <si>
    <t>Feuchtegehalt Eintritt - IST Feuchte</t>
  </si>
  <si>
    <t>rf 1</t>
  </si>
  <si>
    <t>[%]</t>
  </si>
  <si>
    <t>∆x</t>
  </si>
  <si>
    <t>Frischluftanteil</t>
  </si>
  <si>
    <t>FA</t>
  </si>
  <si>
    <t>x1 (T1)</t>
  </si>
  <si>
    <t>[g/kg]</t>
  </si>
  <si>
    <t>x2 (T2)</t>
  </si>
  <si>
    <t>rf 2</t>
  </si>
  <si>
    <t>T2</t>
  </si>
  <si>
    <t>Kühlleistung</t>
  </si>
  <si>
    <t>[kW]</t>
  </si>
  <si>
    <r>
      <t>P</t>
    </r>
    <r>
      <rPr>
        <sz val="10"/>
        <color rgb="FF000000"/>
        <rFont val="Arial Nova"/>
        <family val="2"/>
      </rPr>
      <t>H</t>
    </r>
  </si>
  <si>
    <t>[kg/h=l/h]</t>
  </si>
  <si>
    <t>Gas- Luftdruck in Abhängigkeit der Aufstellungshöhe</t>
  </si>
  <si>
    <t>p(H)</t>
  </si>
  <si>
    <t>mbar</t>
  </si>
  <si>
    <t>Gas- Luftkonstante R trockene Luft</t>
  </si>
  <si>
    <t>[J/kg K]</t>
  </si>
  <si>
    <t>Gas- Luftkonstante R Dampf</t>
  </si>
  <si>
    <t>Gas- Luftdichte f(Aufstellungshöhe)</t>
  </si>
  <si>
    <t>[kg/m³]</t>
  </si>
  <si>
    <t>Masse der Förderluft</t>
  </si>
  <si>
    <t>[kg/h]</t>
  </si>
  <si>
    <t>Sättigungsdruck</t>
  </si>
  <si>
    <t>ps 1 (T1)</t>
  </si>
  <si>
    <t>[mbar]</t>
  </si>
  <si>
    <t>ps 2 (T2)</t>
  </si>
  <si>
    <t>Feuchtegehalt</t>
  </si>
  <si>
    <t>[kg/kg]</t>
  </si>
  <si>
    <t>Enthalpie</t>
  </si>
  <si>
    <t>h1 (T1)</t>
  </si>
  <si>
    <t>[KJ/kg]</t>
  </si>
  <si>
    <t>h2 (T2)</t>
  </si>
  <si>
    <t>Enthalpie Kühlen durch befeuchten</t>
  </si>
  <si>
    <t>h4</t>
  </si>
  <si>
    <t>Enthalpie Wasser</t>
  </si>
  <si>
    <t>h5</t>
  </si>
  <si>
    <t>Eingabefelder</t>
  </si>
  <si>
    <t>Laufzeit der Sprühzyklen</t>
  </si>
  <si>
    <t>Frühjahr / Auslastung / Stunde / %</t>
  </si>
  <si>
    <t>Sommer / Auslastung / Stunde / %</t>
  </si>
  <si>
    <t>Herbst / Auslastung / Stunde / %</t>
  </si>
  <si>
    <t>Winter / Auslastung / Stunde / %</t>
  </si>
  <si>
    <t>Stromkosten €/kwh</t>
  </si>
  <si>
    <t>Wasserkosten €/m³</t>
  </si>
  <si>
    <t>Abwasserkosten €/m³</t>
  </si>
  <si>
    <t>Salzkosten €/kg</t>
  </si>
  <si>
    <t>Rohwasserhärte [°dH]</t>
  </si>
  <si>
    <t>Verschnitthärte [°dH]</t>
  </si>
  <si>
    <t>Berechnungsgrundlagen</t>
  </si>
  <si>
    <t>Sprühleistung  l / Std</t>
  </si>
  <si>
    <t>Wasserverbrauch / Jahr / Liter</t>
  </si>
  <si>
    <t>Motor Pumpstation / KW / Std ca. 30 % Ausl.</t>
  </si>
  <si>
    <t>Stromverbrauch Pumpe / kWh / Jahr</t>
  </si>
  <si>
    <t>Betriebsstunden / Jahr</t>
  </si>
  <si>
    <t>Tage / Jahr</t>
  </si>
  <si>
    <t>Stunden / Jahr</t>
  </si>
  <si>
    <t xml:space="preserve">Stromverbrauch Enthärtungsanlage kw/Jahr </t>
  </si>
  <si>
    <t xml:space="preserve">Stromkosten Enthärtungsanlage / Jahr </t>
  </si>
  <si>
    <t xml:space="preserve">Stromverbrauch Osmose (1,5 kW/m³ Permeat)  kwh/Jahr </t>
  </si>
  <si>
    <t xml:space="preserve">Stromkosten Umkehrosmose / Jahr </t>
  </si>
  <si>
    <t xml:space="preserve">Stromverbrauch Pumpstation kw/Jahr </t>
  </si>
  <si>
    <t>Stromkosten Pumpstation / Jahr</t>
  </si>
  <si>
    <t>Stromverbrauch Ventilatoren kw/Jahr</t>
  </si>
  <si>
    <t>Stromkosten Ventilatoren / Jahr</t>
  </si>
  <si>
    <t>Wasserverbrauch / m³/Jahr</t>
  </si>
  <si>
    <t xml:space="preserve">Wasserverbrauch Abwasser Enthärtungsanlage </t>
  </si>
  <si>
    <t>m³ / Jahr</t>
  </si>
  <si>
    <t>Wasserverbrauch Osmose / m³/Jahr</t>
  </si>
  <si>
    <t>(Konzentrat-Abwasser Osmose m³/Jahr)</t>
  </si>
  <si>
    <t>Wasserkosten / Jahr / EUR</t>
  </si>
  <si>
    <t>Salzverbrauch Enthärtungsanlage / kg/Jahr</t>
  </si>
  <si>
    <t xml:space="preserve">Kosten Salzverbrauch Enthärtung / Jahr </t>
  </si>
  <si>
    <t>Energiekosten / Jahr / EUR</t>
  </si>
  <si>
    <t>GESAMTKOSTEN / JAHR / EUR</t>
  </si>
  <si>
    <t>pro Jahr</t>
  </si>
  <si>
    <t>vs.</t>
  </si>
  <si>
    <t>[kW/a]</t>
  </si>
  <si>
    <t>Volumenstrom</t>
  </si>
  <si>
    <t>[m³/h]</t>
  </si>
  <si>
    <t>Frischluft / Außenluft-Temperatur</t>
  </si>
  <si>
    <t>Feuchtegehalt Austritt - SOLL Feuchte</t>
  </si>
  <si>
    <t>Feuchterückgewinnung</t>
  </si>
  <si>
    <t>FRG</t>
  </si>
  <si>
    <t>Zuluft-Temperatur in den Raum</t>
  </si>
  <si>
    <t>[h/a]</t>
  </si>
  <si>
    <t>WRG</t>
  </si>
  <si>
    <r>
      <t>P</t>
    </r>
    <r>
      <rPr>
        <sz val="10"/>
        <color rgb="FF000000"/>
        <rFont val="Arial Nova"/>
        <family val="2"/>
      </rPr>
      <t>K</t>
    </r>
  </si>
  <si>
    <r>
      <t>P</t>
    </r>
    <r>
      <rPr>
        <sz val="10"/>
        <color rgb="FF000000"/>
        <rFont val="Arial Nova"/>
        <family val="2"/>
      </rPr>
      <t>Hges</t>
    </r>
  </si>
  <si>
    <t>T3</t>
  </si>
  <si>
    <t>Befeuchtungsleistung</t>
  </si>
  <si>
    <t>[kW / h]</t>
  </si>
  <si>
    <t>theoret.</t>
  </si>
  <si>
    <t>n</t>
  </si>
  <si>
    <t>[€/a]</t>
  </si>
  <si>
    <t>750 W/l</t>
  </si>
  <si>
    <t>[gr/kWh]</t>
  </si>
  <si>
    <t>[t CO2/a]</t>
  </si>
  <si>
    <t>Befeuchten Zuluft T2</t>
  </si>
  <si>
    <r>
      <t>R</t>
    </r>
    <r>
      <rPr>
        <sz val="6"/>
        <rFont val="HelveticaNeueLT W1G 55 Roman"/>
        <family val="2"/>
      </rPr>
      <t>G</t>
    </r>
  </si>
  <si>
    <r>
      <t>R</t>
    </r>
    <r>
      <rPr>
        <sz val="6"/>
        <rFont val="HelveticaNeueLT W1G 55 Roman"/>
        <family val="2"/>
      </rPr>
      <t>D</t>
    </r>
  </si>
  <si>
    <r>
      <t>ρ</t>
    </r>
    <r>
      <rPr>
        <sz val="6"/>
        <rFont val="HelveticaNeueLT W1G 55 Roman"/>
        <family val="2"/>
      </rPr>
      <t>G</t>
    </r>
    <r>
      <rPr>
        <sz val="10"/>
        <rFont val="HelveticaNeueLT W1G 55 Roman"/>
        <family val="2"/>
      </rPr>
      <t>(T1)</t>
    </r>
  </si>
  <si>
    <r>
      <t>ρ</t>
    </r>
    <r>
      <rPr>
        <sz val="6"/>
        <rFont val="HelveticaNeueLT W1G 55 Roman"/>
        <family val="2"/>
      </rPr>
      <t>G</t>
    </r>
    <r>
      <rPr>
        <sz val="10"/>
        <rFont val="HelveticaNeueLT W1G 55 Roman"/>
        <family val="2"/>
      </rPr>
      <t>(T2)</t>
    </r>
  </si>
  <si>
    <t>Gas- Luftdichte f(Aufstellungshöhe) - WRG</t>
  </si>
  <si>
    <r>
      <t>m</t>
    </r>
    <r>
      <rPr>
        <sz val="6"/>
        <rFont val="HelveticaNeueLT W1G 55 Roman"/>
        <family val="2"/>
      </rPr>
      <t>L</t>
    </r>
    <r>
      <rPr>
        <sz val="10"/>
        <rFont val="HelveticaNeueLT W1G 55 Roman"/>
        <family val="2"/>
      </rPr>
      <t>(T1)</t>
    </r>
  </si>
  <si>
    <t>Masse der Förderluft - UMLUFT</t>
  </si>
  <si>
    <r>
      <t>m</t>
    </r>
    <r>
      <rPr>
        <sz val="6"/>
        <rFont val="HelveticaNeueLT W1G 55 Roman"/>
        <family val="2"/>
      </rPr>
      <t>L</t>
    </r>
    <r>
      <rPr>
        <sz val="10"/>
        <rFont val="HelveticaNeueLT W1G 55 Roman"/>
        <family val="2"/>
      </rPr>
      <t>(T2)</t>
    </r>
  </si>
  <si>
    <t>Ansaugtemperatur - IST Temp.- nach WRG</t>
  </si>
  <si>
    <t>Sättigungsdruck - nach WRG</t>
  </si>
  <si>
    <t>Feuchtegehalt  - mit FRG</t>
  </si>
  <si>
    <t>Heizleistung</t>
  </si>
  <si>
    <t>Heizleistung GESAMT</t>
  </si>
  <si>
    <t>Aufheiztemp vor Befeuchten</t>
  </si>
  <si>
    <t>Wasserbedarf Befeuchten</t>
  </si>
  <si>
    <t>elektrische Leistungsaufnahme - Dampfbefeuchter</t>
  </si>
  <si>
    <r>
      <t>ERSPARNIS: Energiekosten* mit merlin</t>
    </r>
    <r>
      <rPr>
        <vertAlign val="superscript"/>
        <sz val="15"/>
        <color theme="0"/>
        <rFont val="HelveticaNeueLT Pro 53 Ex"/>
        <family val="2"/>
      </rPr>
      <t>®</t>
    </r>
    <r>
      <rPr>
        <sz val="15"/>
        <color theme="0"/>
        <rFont val="HelveticaNeueLT Pro 53 Ex"/>
        <family val="2"/>
      </rPr>
      <t xml:space="preserve"> bis zu</t>
    </r>
  </si>
  <si>
    <t>elektrische Leistungsaufnahme - Pumpe &amp; Primärenergie</t>
  </si>
  <si>
    <t>Frischluft / Außenluft-Feuchte</t>
  </si>
  <si>
    <t>Zuluft-Feuchte in den Raum</t>
  </si>
  <si>
    <t>elektrische Leistungseinsparung</t>
  </si>
  <si>
    <t>Aufstellhöhe (m.ü.N.N)</t>
  </si>
  <si>
    <t>BEFEUCHTEN</t>
  </si>
  <si>
    <t>Ansaugtemperatur - IST Temp.</t>
  </si>
  <si>
    <t>Austritttemperatur - SOLL Temp.</t>
  </si>
  <si>
    <t>Wärmerückgewinnung</t>
  </si>
  <si>
    <t xml:space="preserve">Frischluft - Feuchtegehalt </t>
  </si>
  <si>
    <t>Feuchtegehalt nach Befeuchten</t>
  </si>
  <si>
    <t>Reserve Befeuchterleistung</t>
  </si>
  <si>
    <t>GESAMT Wasserbedarf Befeuchten</t>
  </si>
  <si>
    <t xml:space="preserve">tatsächlicher Engergiebedarf </t>
  </si>
  <si>
    <t xml:space="preserve">Energievergleich Hochdruck- vs. Dampfbefeuchtung </t>
  </si>
  <si>
    <t>Kosten für Primär - Heiz- Energie</t>
  </si>
  <si>
    <t>Jahresenergiekosten (inkl. Primärheizkosten)</t>
  </si>
  <si>
    <t>Leistungsaufnahme Dampf-Befeuchter</t>
  </si>
  <si>
    <t>Jahresenergiekosten Dampfbefeuchter</t>
  </si>
  <si>
    <t>Leistungseinsparung (elektrisch)</t>
  </si>
  <si>
    <t>Kosteneinsparung (gerundet)</t>
  </si>
  <si>
    <t>CO2 - Ausstoß</t>
  </si>
  <si>
    <t>CO2 - Ausstoß MERLIN ORBIT-Wing</t>
  </si>
  <si>
    <t>CO2 - Ausstoß Dampf</t>
  </si>
  <si>
    <t>CO2 Einsparung</t>
  </si>
  <si>
    <t>Ansaugtemperatur (IST-Temperatur)</t>
  </si>
  <si>
    <t>Feuchtegehalt Eintritt (IST-Feuchte)</t>
  </si>
  <si>
    <t>Austrittstemperatur (SOLL-Temperatur)</t>
  </si>
  <si>
    <t>Feuchtegehalt Austritt (SOLL-Feuchte)</t>
  </si>
  <si>
    <t>Betriebsstunden im Jahr</t>
  </si>
  <si>
    <t>Kosten für Primär- und Heizenergie (Heizregister)</t>
  </si>
  <si>
    <t>Die Wasserkosten wurden nicht berücksichtigt, da sowohl Dampf- als auch Hochdruckbefeuchtung denselben Wasserverbrauch haben.</t>
  </si>
  <si>
    <t>Betriebsstunden wurden mit 100% Volllast kalkuliert.</t>
  </si>
  <si>
    <t>Gas, Fernwärme, Wärmepumpe etc.</t>
  </si>
  <si>
    <t>*Die bereitgestellten Informationen basieren auf Schätzwerten und dienen nur zur allgemeinen Orientierung. Es ist zu beachten, dass die Daten der Berechnung aufgrund regionaler und saisonaler Schwankungen variieren können. Diese Abweichungen können durch eine Reihe von Faktoren beeinflusst werden, einschließlich, aber nicht beschränkt auf, Isolierung, Fensterflächen, Sonneneinstrahlung, Wärmequellen wie Maschinen und weitere bauliche Besonderheiten. Für die errechneten Werte können wir aus diesem Grund weder eine Garantie übernehmen noch eine Beschaffenheitszusage abgeben.
Die Merlin Technology GmbH kann daher keine Haftung für die tatsächliche Erreichbarkeit der vom Rechner ermittelten Werte übernehmen. (Stand 17.09.2024)</t>
  </si>
  <si>
    <t>Luftmenge im RLT-Gerät lt. Typenschild</t>
  </si>
  <si>
    <t>Energiekosten-Vergleichsrechner für RLT-Befeuchtung</t>
  </si>
  <si>
    <t>kalkulierter Wasserverbrauch für Befeuchtung pro Jahr</t>
  </si>
  <si>
    <t>[l/a]</t>
  </si>
  <si>
    <t>Bei Enthalpie-Rotationswärmetauschern ist eine Feuchterückgewinnung möglich.</t>
  </si>
  <si>
    <t>Frischluft kann auch teilweise Umluft enthalten.</t>
  </si>
  <si>
    <r>
      <t>merlin</t>
    </r>
    <r>
      <rPr>
        <vertAlign val="superscript"/>
        <sz val="16"/>
        <color rgb="FF706F6F"/>
        <rFont val="HelveticaNeueLT Pro 53 Ex"/>
        <family val="2"/>
      </rPr>
      <t>®</t>
    </r>
    <r>
      <rPr>
        <sz val="16"/>
        <color rgb="FF706F6F"/>
        <rFont val="HelveticaNeueLT Pro 53 Ex"/>
        <family val="2"/>
      </rPr>
      <t xml:space="preserve"> ORBIT WING</t>
    </r>
    <r>
      <rPr>
        <vertAlign val="superscript"/>
        <sz val="16"/>
        <color rgb="FF706F6F"/>
        <rFont val="HelveticaNeueLT Pro 53 Ex"/>
        <family val="2"/>
      </rPr>
      <t>®</t>
    </r>
    <r>
      <rPr>
        <sz val="16"/>
        <color rgb="FF706F6F"/>
        <rFont val="HelveticaNeueLT Pro 53 Ex"/>
        <family val="2"/>
      </rPr>
      <t xml:space="preserve"> Hochdruckbefeuchtung vs. elektrische Dampfbefeuchtung</t>
    </r>
  </si>
  <si>
    <r>
      <t xml:space="preserve">Basisdaten </t>
    </r>
    <r>
      <rPr>
        <sz val="11"/>
        <color theme="0"/>
        <rFont val="HelveticaNeueLT Pro 53 Ex"/>
        <family val="2"/>
      </rPr>
      <t>(Bitte die gelben Felder ausfüllen/anpassen)</t>
    </r>
  </si>
  <si>
    <r>
      <t>Energiekosten* mit merlin</t>
    </r>
    <r>
      <rPr>
        <vertAlign val="superscript"/>
        <sz val="16"/>
        <color theme="0"/>
        <rFont val="HelveticaNeueLT Pro 53 Ex"/>
        <family val="2"/>
      </rPr>
      <t>®</t>
    </r>
    <r>
      <rPr>
        <b/>
        <sz val="16"/>
        <color theme="0"/>
        <rFont val="Arial Nova"/>
        <family val="2"/>
      </rPr>
      <t xml:space="preserve"> </t>
    </r>
    <r>
      <rPr>
        <sz val="16"/>
        <color theme="0"/>
        <rFont val="HelveticaNeueLT Pro 53 Ex"/>
        <family val="2"/>
      </rPr>
      <t xml:space="preserve"> </t>
    </r>
    <r>
      <rPr>
        <sz val="12"/>
        <color theme="0"/>
        <rFont val="HelveticaNeueLT Pro 53 Ex"/>
        <family val="2"/>
      </rPr>
      <t>ORBIT WING</t>
    </r>
    <r>
      <rPr>
        <vertAlign val="superscript"/>
        <sz val="12"/>
        <color theme="0"/>
        <rFont val="HelveticaNeueLT Pro 53 Ex"/>
        <family val="2"/>
      </rPr>
      <t>®</t>
    </r>
    <r>
      <rPr>
        <sz val="12"/>
        <color theme="0"/>
        <rFont val="HelveticaNeueLT Pro 53 Ex"/>
        <family val="2"/>
      </rPr>
      <t xml:space="preserve"> Hochdruckbefeuchtung</t>
    </r>
  </si>
  <si>
    <t>Energiekosten elektrische Dampfbefeuchtung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</si>
</sst>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164" formatCode="_-* #,##0.00\ &quot;€&quot;_-;\-* #,##0.00\ &quot;€&quot;_-;_-* &quot;-&quot;??\ &quot;€&quot;_-;_-@_-"/>
    <numFmt numFmtId="165" formatCode="0.0"/>
    <numFmt numFmtId="166" formatCode="_-* #,##0\ &quot;€&quot;_-;\-* #,##0\ &quot;€&quot;_-;_-* &quot;-&quot;??\ &quot;€&quot;_-;_-@_-"/>
    <numFmt numFmtId="167" formatCode="#,##0.0"/>
    <numFmt numFmtId="168" formatCode="0.000"/>
  </numFmts>
  <fonts count="36">
    <font>
      <sz val="11"/>
      <color theme="1"/>
      <name val="Calibri"/>
      <family val="2"/>
      <scheme val="minor"/>
    </font>
    <font>
      <sz val="11"/>
      <color theme="1"/>
      <name val="HelveticaNeueLT Pro 55 Roman"/>
      <family val="2"/>
    </font>
    <font>
      <sz val="8"/>
      <name val="HelveticaNeueLT Pro 55 Roman"/>
      <family val="2"/>
    </font>
    <font>
      <sz val="16"/>
      <color theme="0"/>
      <name val="HelveticaNeueLT Pro 53 Ex"/>
      <family val="2"/>
    </font>
    <font>
      <sz val="16"/>
      <color rgb="FF706F6F"/>
      <name val="HelveticaNeueLT Pro 53 Ex"/>
      <family val="2"/>
    </font>
    <font>
      <sz val="22"/>
      <color rgb="FF1F2662"/>
      <name val="HelveticaNeueLT Pro 53 Ex"/>
      <family val="2"/>
    </font>
    <font>
      <sz val="11"/>
      <color theme="1"/>
      <name val="Calibri"/>
      <family val="2"/>
      <scheme val="minor"/>
    </font>
    <font>
      <b/>
      <sz val="11"/>
      <color theme="0"/>
      <name val="Arial Nova"/>
      <family val="2"/>
    </font>
    <font>
      <sz val="11"/>
      <color indexed="8"/>
      <name val="HelveticaNeueLT W1G 55 Roman"/>
      <family val="2"/>
    </font>
    <font>
      <sz val="11"/>
      <color indexed="8"/>
      <name val="Arial Nova"/>
      <family val="2"/>
    </font>
    <font>
      <sz val="10"/>
      <color indexed="8"/>
      <name val="Arial Nova"/>
      <family val="2"/>
    </font>
    <font>
      <sz val="10"/>
      <color rgb="FF000000"/>
      <name val="Arial Nova"/>
      <family val="2"/>
    </font>
    <font>
      <i/>
      <sz val="11"/>
      <color theme="0" tint="-0.499984740745262"/>
      <name val="Calibri"/>
      <family val="2"/>
      <scheme val="minor"/>
    </font>
    <font>
      <sz val="10"/>
      <name val="Arial"/>
      <family val="2"/>
    </font>
    <font>
      <b/>
      <i/>
      <sz val="10"/>
      <color theme="0" tint="-0.499984740745262"/>
      <name val="HelveticaNeueLT Pro 55 Roman"/>
      <family val="2"/>
    </font>
    <font>
      <i/>
      <sz val="10"/>
      <color theme="0" tint="-0.499984740745262"/>
      <name val="HelveticaNeueLT Pro 55 Roman"/>
      <family val="2"/>
    </font>
    <font>
      <b/>
      <i/>
      <sz val="12"/>
      <color theme="0" tint="-0.499984740745262"/>
      <name val="HelveticaNeueLT Pro 55 Roman"/>
      <family val="2"/>
    </font>
    <font>
      <sz val="11"/>
      <color theme="1" tint="0.34998626667073579"/>
      <name val="Calibri"/>
      <family val="2"/>
      <scheme val="minor"/>
    </font>
    <font>
      <vertAlign val="superscript"/>
      <sz val="16"/>
      <color rgb="FF706F6F"/>
      <name val="HelveticaNeueLT Pro 53 Ex"/>
      <family val="2"/>
    </font>
    <font>
      <sz val="11"/>
      <name val="HelveticaNeueLT Pro 55 Roman"/>
      <family val="2"/>
    </font>
    <font>
      <sz val="9"/>
      <color rgb="FF706F6F"/>
      <name val="HelveticaNeueLT Pro 55 Roman"/>
      <family val="2"/>
    </font>
    <font>
      <b/>
      <sz val="11"/>
      <color rgb="FF1F2662"/>
      <name val="HelveticaNeueLT Pro 55 Roman"/>
      <family val="2"/>
    </font>
    <font>
      <sz val="11"/>
      <color theme="0"/>
      <name val="HelveticaNeueLT Pro 55 Roman"/>
      <family val="2"/>
    </font>
    <font>
      <sz val="11"/>
      <color theme="0"/>
      <name val="HelveticaNeueLT Pro 53 Ex"/>
      <family val="2"/>
    </font>
    <font>
      <b/>
      <sz val="12"/>
      <color theme="1"/>
      <name val="Arial Nova"/>
      <family val="2"/>
    </font>
    <font>
      <vertAlign val="superscript"/>
      <sz val="16"/>
      <color theme="0"/>
      <name val="HelveticaNeueLT Pro 53 Ex"/>
      <family val="2"/>
    </font>
    <font>
      <sz val="15"/>
      <color theme="0"/>
      <name val="HelveticaNeueLT Pro 53 Ex"/>
      <family val="2"/>
    </font>
    <font>
      <vertAlign val="superscript"/>
      <sz val="15"/>
      <color theme="0"/>
      <name val="HelveticaNeueLT Pro 53 Ex"/>
      <family val="2"/>
    </font>
    <font>
      <b/>
      <sz val="11"/>
      <color indexed="8"/>
      <name val="HelveticaNeueLT W1G 55 Roman"/>
      <family val="2"/>
    </font>
    <font>
      <sz val="11"/>
      <color theme="0"/>
      <name val="Arial Nova"/>
      <family val="2"/>
    </font>
    <font>
      <b/>
      <sz val="12"/>
      <color indexed="8"/>
      <name val="HelveticaNeueLT W1G 55 Roman"/>
      <family val="2"/>
    </font>
    <font>
      <sz val="6"/>
      <name val="HelveticaNeueLT W1G 55 Roman"/>
      <family val="2"/>
    </font>
    <font>
      <sz val="10"/>
      <name val="HelveticaNeueLT W1G 55 Roman"/>
      <family val="2"/>
    </font>
    <font>
      <sz val="12"/>
      <color theme="0"/>
      <name val="HelveticaNeueLT Pro 53 Ex"/>
      <family val="2"/>
    </font>
    <font>
      <b/>
      <sz val="16"/>
      <color theme="0"/>
      <name val="Arial Nova"/>
      <family val="2"/>
    </font>
    <font>
      <vertAlign val="superscript"/>
      <sz val="12"/>
      <color theme="0"/>
      <name val="HelveticaNeueLT Pro 53 Ex"/>
      <family val="2"/>
    </font>
  </fonts>
  <fills count="9">
    <fill>
      <patternFill patternType="none"/>
    </fill>
    <fill>
      <patternFill patternType="gray125"/>
    </fill>
    <fill>
      <patternFill patternType="solid">
        <fgColor rgb="FF1F2662"/>
        <bgColor indexed="64"/>
      </patternFill>
    </fill>
    <fill>
      <patternFill patternType="solid">
        <fgColor rgb="FFFFFF00"/>
        <bgColor indexed="64"/>
      </patternFill>
    </fill>
    <fill>
      <patternFill patternType="solid">
        <fgColor rgb="FFFFFF99"/>
        <bgColor indexed="64"/>
      </patternFill>
    </fill>
    <fill>
      <patternFill patternType="solid">
        <fgColor rgb="FF008B4A"/>
        <bgColor indexed="64"/>
      </patternFill>
    </fill>
    <fill>
      <patternFill patternType="solid">
        <fgColor rgb="FFE1CD1C"/>
        <bgColor indexed="64"/>
      </patternFill>
    </fill>
    <fill>
      <patternFill patternType="solid">
        <fgColor theme="1"/>
        <bgColor indexed="64"/>
      </patternFill>
    </fill>
    <fill>
      <patternFill patternType="solid">
        <fgColor rgb="FFF0F1FA"/>
        <bgColor indexed="64"/>
      </patternFill>
    </fill>
  </fills>
  <borders count="29">
    <border>
      <left/>
      <right/>
      <top/>
      <bottom/>
      <diagonal/>
    </border>
    <border>
      <left/>
      <right style="thin">
        <color rgb="FF706F6F"/>
      </right>
      <top/>
      <bottom style="thin">
        <color rgb="FF706F6F"/>
      </bottom>
      <diagonal/>
    </border>
    <border>
      <left/>
      <right style="thin">
        <color rgb="FF706F6F"/>
      </right>
      <top style="thin">
        <color rgb="FF706F6F"/>
      </top>
      <bottom style="thin">
        <color rgb="FF706F6F"/>
      </bottom>
      <diagonal/>
    </border>
    <border>
      <left style="thin">
        <color rgb="FF706F6F"/>
      </left>
      <right style="thin">
        <color rgb="FF706F6F"/>
      </right>
      <top style="thin">
        <color rgb="FF706F6F"/>
      </top>
      <bottom style="thin">
        <color rgb="FF706F6F"/>
      </bottom>
      <diagonal/>
    </border>
    <border>
      <left/>
      <right style="thin">
        <color rgb="FF706F6F"/>
      </right>
      <top style="thin">
        <color rgb="FF706F6F"/>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auto="1"/>
      </top>
      <bottom style="double">
        <color auto="1"/>
      </bottom>
      <diagonal/>
    </border>
    <border>
      <left/>
      <right/>
      <top style="thin">
        <color auto="1"/>
      </top>
      <bottom style="double">
        <color auto="1"/>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top/>
      <bottom style="thin">
        <color indexed="64"/>
      </bottom>
      <diagonal/>
    </border>
    <border>
      <left/>
      <right/>
      <top/>
      <bottom style="thin">
        <color rgb="FF706F6F"/>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164" fontId="6" fillId="0" borderId="0" applyFont="0" applyFill="0" applyBorder="0" applyAlignment="0" applyProtection="0"/>
    <xf numFmtId="0" fontId="13" fillId="0" borderId="0"/>
  </cellStyleXfs>
  <cellXfs count="133">
    <xf numFmtId="0" fontId="0" fillId="0" borderId="0" xfId="0"/>
    <xf numFmtId="0" fontId="1" fillId="0" borderId="0" xfId="0" applyFont="1"/>
    <xf numFmtId="0" fontId="4" fillId="0" borderId="0" xfId="0" applyFont="1" applyAlignment="1">
      <alignment horizontal="left" vertical="top"/>
    </xf>
    <xf numFmtId="0" fontId="1" fillId="0" borderId="0" xfId="0" applyFont="1" applyAlignment="1">
      <alignment horizontal="left" vertical="top"/>
    </xf>
    <xf numFmtId="0" fontId="8" fillId="0" borderId="0" xfId="0" applyFont="1"/>
    <xf numFmtId="0" fontId="9" fillId="0" borderId="0" xfId="0" applyFont="1"/>
    <xf numFmtId="0" fontId="9" fillId="0" borderId="0" xfId="0" applyFont="1" applyProtection="1">
      <protection hidden="1"/>
    </xf>
    <xf numFmtId="4" fontId="9" fillId="0" borderId="0" xfId="0" applyNumberFormat="1" applyFont="1"/>
    <xf numFmtId="0" fontId="12" fillId="0" borderId="0" xfId="0" applyFont="1"/>
    <xf numFmtId="0" fontId="14" fillId="0" borderId="6" xfId="2" applyFont="1" applyBorder="1" applyProtection="1">
      <protection hidden="1"/>
    </xf>
    <xf numFmtId="0" fontId="15" fillId="0" borderId="16" xfId="2" applyFont="1" applyBorder="1" applyProtection="1">
      <protection hidden="1"/>
    </xf>
    <xf numFmtId="0" fontId="15" fillId="0" borderId="0" xfId="2" applyFont="1" applyProtection="1">
      <protection hidden="1"/>
    </xf>
    <xf numFmtId="0" fontId="14" fillId="0" borderId="15" xfId="2" applyFont="1" applyBorder="1" applyProtection="1">
      <protection hidden="1"/>
    </xf>
    <xf numFmtId="10" fontId="14" fillId="3" borderId="15" xfId="2" applyNumberFormat="1" applyFont="1" applyFill="1" applyBorder="1" applyProtection="1">
      <protection locked="0"/>
    </xf>
    <xf numFmtId="10" fontId="14" fillId="4" borderId="6" xfId="2" applyNumberFormat="1" applyFont="1" applyFill="1" applyBorder="1" applyProtection="1">
      <protection locked="0"/>
    </xf>
    <xf numFmtId="2" fontId="14" fillId="4" borderId="6" xfId="2" applyNumberFormat="1" applyFont="1" applyFill="1" applyBorder="1" applyProtection="1">
      <protection locked="0"/>
    </xf>
    <xf numFmtId="0" fontId="15" fillId="0" borderId="19" xfId="2" applyFont="1" applyBorder="1" applyProtection="1">
      <protection hidden="1"/>
    </xf>
    <xf numFmtId="0" fontId="14" fillId="0" borderId="19" xfId="2" applyFont="1" applyBorder="1" applyProtection="1">
      <protection hidden="1"/>
    </xf>
    <xf numFmtId="0" fontId="14" fillId="0" borderId="17" xfId="2" applyFont="1" applyBorder="1" applyAlignment="1" applyProtection="1">
      <alignment vertical="top"/>
      <protection hidden="1"/>
    </xf>
    <xf numFmtId="0" fontId="15" fillId="0" borderId="18" xfId="2" applyFont="1" applyBorder="1" applyProtection="1">
      <protection hidden="1"/>
    </xf>
    <xf numFmtId="0" fontId="15" fillId="0" borderId="6" xfId="2" applyFont="1" applyBorder="1" applyProtection="1">
      <protection hidden="1"/>
    </xf>
    <xf numFmtId="4" fontId="15" fillId="0" borderId="6" xfId="2" applyNumberFormat="1" applyFont="1" applyBorder="1" applyProtection="1">
      <protection hidden="1"/>
    </xf>
    <xf numFmtId="0" fontId="15" fillId="0" borderId="6" xfId="2" applyFont="1" applyBorder="1" applyAlignment="1" applyProtection="1">
      <alignment wrapText="1"/>
      <protection hidden="1"/>
    </xf>
    <xf numFmtId="4" fontId="15" fillId="0" borderId="0" xfId="2" applyNumberFormat="1" applyFont="1" applyProtection="1">
      <protection hidden="1"/>
    </xf>
    <xf numFmtId="0" fontId="14" fillId="0" borderId="21" xfId="2" applyFont="1" applyBorder="1" applyProtection="1">
      <protection hidden="1"/>
    </xf>
    <xf numFmtId="44" fontId="14" fillId="0" borderId="22" xfId="2" applyNumberFormat="1" applyFont="1" applyBorder="1" applyProtection="1">
      <protection hidden="1"/>
    </xf>
    <xf numFmtId="0" fontId="15" fillId="0" borderId="19" xfId="2" applyFont="1" applyBorder="1" applyAlignment="1" applyProtection="1">
      <alignment horizontal="right"/>
      <protection hidden="1"/>
    </xf>
    <xf numFmtId="4" fontId="14" fillId="0" borderId="0" xfId="2" applyNumberFormat="1" applyFont="1" applyProtection="1">
      <protection hidden="1"/>
    </xf>
    <xf numFmtId="0" fontId="16" fillId="0" borderId="21" xfId="2" applyFont="1" applyBorder="1" applyProtection="1">
      <protection hidden="1"/>
    </xf>
    <xf numFmtId="4" fontId="16" fillId="0" borderId="22" xfId="2" applyNumberFormat="1" applyFont="1" applyBorder="1" applyProtection="1">
      <protection hidden="1"/>
    </xf>
    <xf numFmtId="0" fontId="16" fillId="0" borderId="19" xfId="2" applyFont="1" applyBorder="1" applyProtection="1">
      <protection hidden="1"/>
    </xf>
    <xf numFmtId="0" fontId="16" fillId="0" borderId="0" xfId="2" applyFont="1" applyProtection="1">
      <protection hidden="1"/>
    </xf>
    <xf numFmtId="0" fontId="16" fillId="0" borderId="23" xfId="2" applyFont="1" applyBorder="1" applyProtection="1">
      <protection hidden="1"/>
    </xf>
    <xf numFmtId="4" fontId="16" fillId="0" borderId="24" xfId="2" applyNumberFormat="1" applyFont="1" applyBorder="1" applyProtection="1">
      <protection hidden="1"/>
    </xf>
    <xf numFmtId="0" fontId="15" fillId="0" borderId="25" xfId="2" applyFont="1" applyBorder="1" applyProtection="1">
      <protection hidden="1"/>
    </xf>
    <xf numFmtId="0" fontId="17" fillId="0" borderId="0" xfId="0" applyFont="1"/>
    <xf numFmtId="0" fontId="19" fillId="0" borderId="2" xfId="0" applyFont="1" applyBorder="1" applyAlignment="1" applyProtection="1">
      <alignment horizontal="left" vertical="center"/>
      <protection locked="0"/>
    </xf>
    <xf numFmtId="0" fontId="20" fillId="0" borderId="0" xfId="0" applyFont="1"/>
    <xf numFmtId="0" fontId="2" fillId="0" borderId="0" xfId="0" applyFont="1" applyAlignment="1" applyProtection="1">
      <alignment horizontal="left" vertical="center"/>
      <protection locked="0"/>
    </xf>
    <xf numFmtId="0" fontId="19" fillId="0" borderId="2" xfId="0" applyFont="1" applyBorder="1" applyAlignment="1" applyProtection="1">
      <alignment horizontal="left" vertical="center" wrapText="1"/>
      <protection locked="0"/>
    </xf>
    <xf numFmtId="0" fontId="3" fillId="2" borderId="26" xfId="0" applyFont="1" applyFill="1" applyBorder="1" applyAlignment="1">
      <alignment vertical="center" wrapText="1"/>
    </xf>
    <xf numFmtId="0" fontId="10" fillId="0" borderId="0" xfId="0" applyFont="1" applyProtection="1">
      <protection hidden="1"/>
    </xf>
    <xf numFmtId="0" fontId="19" fillId="0" borderId="3" xfId="0" applyFont="1" applyBorder="1" applyAlignment="1" applyProtection="1">
      <alignment horizontal="left" vertical="center"/>
      <protection locked="0"/>
    </xf>
    <xf numFmtId="0" fontId="23" fillId="2" borderId="1" xfId="0" applyFont="1" applyFill="1" applyBorder="1" applyAlignment="1">
      <alignment vertical="center" wrapText="1"/>
    </xf>
    <xf numFmtId="0" fontId="24" fillId="0" borderId="0" xfId="0" applyFont="1"/>
    <xf numFmtId="0" fontId="0" fillId="5" borderId="0" xfId="0" applyFill="1"/>
    <xf numFmtId="0" fontId="23" fillId="5" borderId="1" xfId="0" applyFont="1" applyFill="1" applyBorder="1" applyAlignment="1">
      <alignment vertical="center" wrapText="1"/>
    </xf>
    <xf numFmtId="0" fontId="21" fillId="6" borderId="4" xfId="0" applyFont="1" applyFill="1" applyBorder="1" applyAlignment="1" applyProtection="1">
      <alignment horizontal="right" vertical="center"/>
      <protection locked="0"/>
    </xf>
    <xf numFmtId="0" fontId="21" fillId="6" borderId="2" xfId="0" applyFont="1" applyFill="1" applyBorder="1" applyAlignment="1" applyProtection="1">
      <alignment horizontal="right" vertical="center"/>
      <protection locked="0"/>
    </xf>
    <xf numFmtId="166" fontId="23" fillId="2" borderId="26" xfId="1" applyNumberFormat="1" applyFont="1" applyFill="1" applyBorder="1" applyAlignment="1">
      <alignment horizontal="right" vertical="center" wrapText="1"/>
    </xf>
    <xf numFmtId="166" fontId="23" fillId="5" borderId="26" xfId="1" applyNumberFormat="1" applyFont="1" applyFill="1" applyBorder="1" applyAlignment="1">
      <alignment horizontal="right" vertical="center" wrapText="1"/>
    </xf>
    <xf numFmtId="166" fontId="23" fillId="7" borderId="0" xfId="1" applyNumberFormat="1" applyFont="1" applyFill="1" applyBorder="1" applyAlignment="1">
      <alignment horizontal="right" vertical="center" wrapText="1"/>
    </xf>
    <xf numFmtId="164" fontId="23" fillId="7" borderId="0" xfId="1" applyFont="1" applyFill="1" applyBorder="1" applyAlignment="1">
      <alignment vertical="center" wrapText="1"/>
    </xf>
    <xf numFmtId="0" fontId="26" fillId="5" borderId="26" xfId="0" applyFont="1" applyFill="1" applyBorder="1" applyAlignment="1">
      <alignment vertical="center" wrapText="1"/>
    </xf>
    <xf numFmtId="0" fontId="9" fillId="0" borderId="27" xfId="0" applyFont="1" applyBorder="1"/>
    <xf numFmtId="0" fontId="28" fillId="0" borderId="0" xfId="0" applyFont="1"/>
    <xf numFmtId="0" fontId="7" fillId="2" borderId="11" xfId="0" applyFont="1" applyFill="1" applyBorder="1" applyProtection="1">
      <protection hidden="1"/>
    </xf>
    <xf numFmtId="0" fontId="29" fillId="2" borderId="12" xfId="0" applyFont="1" applyFill="1" applyBorder="1"/>
    <xf numFmtId="0" fontId="29" fillId="2" borderId="12" xfId="0" applyFont="1" applyFill="1" applyBorder="1" applyAlignment="1">
      <alignment horizontal="center"/>
    </xf>
    <xf numFmtId="0" fontId="29" fillId="2" borderId="13" xfId="0" applyFont="1" applyFill="1" applyBorder="1"/>
    <xf numFmtId="0" fontId="10" fillId="0" borderId="5" xfId="0" applyFont="1" applyBorder="1" applyProtection="1">
      <protection hidden="1"/>
    </xf>
    <xf numFmtId="0" fontId="10" fillId="0" borderId="6" xfId="0" applyFont="1" applyBorder="1"/>
    <xf numFmtId="0" fontId="10" fillId="8" borderId="6" xfId="0" applyFont="1" applyFill="1" applyBorder="1" applyProtection="1">
      <protection locked="0"/>
    </xf>
    <xf numFmtId="0" fontId="10" fillId="0" borderId="7" xfId="0" applyFont="1" applyBorder="1"/>
    <xf numFmtId="0" fontId="10" fillId="8" borderId="6" xfId="0" applyFont="1" applyFill="1" applyBorder="1"/>
    <xf numFmtId="3" fontId="10" fillId="8" borderId="6" xfId="0" applyNumberFormat="1" applyFont="1" applyFill="1" applyBorder="1" applyProtection="1">
      <protection locked="0"/>
    </xf>
    <xf numFmtId="167" fontId="10" fillId="0" borderId="6" xfId="0" applyNumberFormat="1" applyFont="1" applyBorder="1" applyProtection="1">
      <protection hidden="1"/>
    </xf>
    <xf numFmtId="0" fontId="10" fillId="0" borderId="8" xfId="0" applyFont="1" applyBorder="1" applyProtection="1">
      <protection hidden="1"/>
    </xf>
    <xf numFmtId="0" fontId="10" fillId="0" borderId="9" xfId="0" applyFont="1" applyBorder="1"/>
    <xf numFmtId="0" fontId="10" fillId="8" borderId="9" xfId="0" applyFont="1" applyFill="1" applyBorder="1" applyProtection="1">
      <protection locked="0"/>
    </xf>
    <xf numFmtId="0" fontId="10" fillId="0" borderId="10" xfId="0" applyFont="1" applyBorder="1"/>
    <xf numFmtId="0" fontId="9" fillId="0" borderId="14" xfId="0" applyFont="1" applyBorder="1" applyProtection="1">
      <protection hidden="1"/>
    </xf>
    <xf numFmtId="0" fontId="10" fillId="0" borderId="14" xfId="0" applyFont="1" applyBorder="1" applyProtection="1">
      <protection hidden="1"/>
    </xf>
    <xf numFmtId="0" fontId="10" fillId="0" borderId="0" xfId="0" applyFont="1"/>
    <xf numFmtId="0" fontId="10" fillId="0" borderId="27" xfId="0" applyFont="1" applyBorder="1"/>
    <xf numFmtId="4" fontId="10" fillId="0" borderId="6" xfId="0" applyNumberFormat="1" applyFont="1" applyBorder="1" applyProtection="1">
      <protection hidden="1"/>
    </xf>
    <xf numFmtId="167" fontId="9" fillId="0" borderId="0" xfId="0" applyNumberFormat="1" applyFont="1"/>
    <xf numFmtId="0" fontId="29" fillId="2" borderId="11" xfId="0" applyFont="1" applyFill="1" applyBorder="1" applyProtection="1">
      <protection hidden="1"/>
    </xf>
    <xf numFmtId="167" fontId="29" fillId="2" borderId="12" xfId="0" applyNumberFormat="1" applyFont="1" applyFill="1" applyBorder="1" applyAlignment="1">
      <alignment horizontal="right"/>
    </xf>
    <xf numFmtId="3" fontId="9" fillId="0" borderId="0" xfId="0" applyNumberFormat="1" applyFont="1"/>
    <xf numFmtId="0" fontId="10" fillId="0" borderId="7" xfId="0" applyFont="1" applyBorder="1" applyAlignment="1">
      <alignment vertical="center"/>
    </xf>
    <xf numFmtId="0" fontId="29" fillId="2" borderId="12" xfId="0" applyFont="1" applyFill="1" applyBorder="1" applyProtection="1">
      <protection hidden="1"/>
    </xf>
    <xf numFmtId="0" fontId="29" fillId="2" borderId="13" xfId="0" applyFont="1" applyFill="1" applyBorder="1" applyProtection="1">
      <protection hidden="1"/>
    </xf>
    <xf numFmtId="0" fontId="10" fillId="0" borderId="0" xfId="0" applyFont="1" applyAlignment="1">
      <alignment vertical="center"/>
    </xf>
    <xf numFmtId="0" fontId="10" fillId="0" borderId="27" xfId="0" applyFont="1" applyBorder="1" applyAlignment="1">
      <alignment vertical="center"/>
    </xf>
    <xf numFmtId="0" fontId="10" fillId="0" borderId="5" xfId="0" applyFont="1" applyBorder="1" applyAlignment="1" applyProtection="1">
      <alignment vertical="center"/>
      <protection hidden="1"/>
    </xf>
    <xf numFmtId="0" fontId="10" fillId="0" borderId="6" xfId="0" applyFont="1" applyBorder="1" applyAlignment="1">
      <alignment vertical="center"/>
    </xf>
    <xf numFmtId="0" fontId="10" fillId="0" borderId="6" xfId="0" applyFont="1" applyBorder="1" applyAlignment="1" applyProtection="1">
      <alignment vertical="center"/>
      <protection hidden="1"/>
    </xf>
    <xf numFmtId="168" fontId="10" fillId="0" borderId="6" xfId="0" applyNumberFormat="1" applyFont="1" applyBorder="1" applyAlignment="1" applyProtection="1">
      <alignment vertical="center"/>
      <protection hidden="1"/>
    </xf>
    <xf numFmtId="0" fontId="10" fillId="0" borderId="14" xfId="0" applyFont="1" applyBorder="1" applyAlignment="1" applyProtection="1">
      <alignment vertical="center"/>
      <protection hidden="1"/>
    </xf>
    <xf numFmtId="168" fontId="10" fillId="0" borderId="0" xfId="0" applyNumberFormat="1" applyFont="1" applyAlignment="1" applyProtection="1">
      <alignment vertical="center"/>
      <protection hidden="1"/>
    </xf>
    <xf numFmtId="0" fontId="10" fillId="0" borderId="8" xfId="0" applyFont="1" applyBorder="1" applyAlignment="1" applyProtection="1">
      <alignment vertical="center"/>
      <protection hidden="1"/>
    </xf>
    <xf numFmtId="0" fontId="10" fillId="0" borderId="9" xfId="0" applyFont="1" applyBorder="1" applyAlignment="1" applyProtection="1">
      <alignment vertical="center"/>
      <protection hidden="1"/>
    </xf>
    <xf numFmtId="0" fontId="9" fillId="0" borderId="27" xfId="0" applyFont="1" applyBorder="1" applyProtection="1">
      <protection hidden="1"/>
    </xf>
    <xf numFmtId="4" fontId="10" fillId="0" borderId="6" xfId="0" applyNumberFormat="1" applyFont="1" applyBorder="1" applyAlignment="1" applyProtection="1">
      <alignment vertical="center"/>
      <protection hidden="1"/>
    </xf>
    <xf numFmtId="0" fontId="10" fillId="0" borderId="7" xfId="0" applyFont="1" applyBorder="1" applyAlignment="1" applyProtection="1">
      <alignment vertical="center"/>
      <protection hidden="1"/>
    </xf>
    <xf numFmtId="4" fontId="10" fillId="0" borderId="9" xfId="0" applyNumberFormat="1" applyFont="1" applyBorder="1" applyAlignment="1" applyProtection="1">
      <alignment vertical="center"/>
      <protection hidden="1"/>
    </xf>
    <xf numFmtId="0" fontId="10" fillId="0" borderId="10" xfId="0" applyFont="1" applyBorder="1" applyAlignment="1" applyProtection="1">
      <alignment vertical="center"/>
      <protection hidden="1"/>
    </xf>
    <xf numFmtId="4" fontId="29" fillId="2" borderId="12" xfId="0" applyNumberFormat="1" applyFont="1" applyFill="1" applyBorder="1" applyAlignment="1" applyProtection="1">
      <alignment horizontal="right"/>
      <protection hidden="1"/>
    </xf>
    <xf numFmtId="0" fontId="10" fillId="0" borderId="9" xfId="0" applyFont="1" applyBorder="1" applyProtection="1">
      <protection hidden="1"/>
    </xf>
    <xf numFmtId="4" fontId="10" fillId="0" borderId="9" xfId="0" applyNumberFormat="1" applyFont="1" applyBorder="1" applyProtection="1">
      <protection hidden="1"/>
    </xf>
    <xf numFmtId="0" fontId="10" fillId="0" borderId="10" xfId="0" applyFont="1" applyBorder="1" applyProtection="1">
      <protection hidden="1"/>
    </xf>
    <xf numFmtId="0" fontId="7" fillId="2" borderId="12" xfId="0" applyFont="1" applyFill="1" applyBorder="1" applyProtection="1">
      <protection hidden="1"/>
    </xf>
    <xf numFmtId="0" fontId="7" fillId="2" borderId="12" xfId="0" applyFont="1" applyFill="1" applyBorder="1" applyAlignment="1" applyProtection="1">
      <alignment horizontal="center"/>
      <protection hidden="1"/>
    </xf>
    <xf numFmtId="0" fontId="7" fillId="2" borderId="13" xfId="0" applyFont="1" applyFill="1" applyBorder="1" applyProtection="1">
      <protection hidden="1"/>
    </xf>
    <xf numFmtId="2" fontId="10" fillId="0" borderId="20" xfId="0" applyNumberFormat="1" applyFont="1" applyBorder="1" applyAlignment="1" applyProtection="1">
      <alignment vertical="center"/>
      <protection hidden="1"/>
    </xf>
    <xf numFmtId="0" fontId="10" fillId="0" borderId="23" xfId="0" applyFont="1" applyBorder="1" applyAlignment="1" applyProtection="1">
      <alignment vertical="center"/>
      <protection hidden="1"/>
    </xf>
    <xf numFmtId="0" fontId="10" fillId="8" borderId="28" xfId="0" applyFont="1" applyFill="1" applyBorder="1" applyAlignment="1" applyProtection="1">
      <alignment vertical="center"/>
      <protection locked="0"/>
    </xf>
    <xf numFmtId="0" fontId="10" fillId="0" borderId="15" xfId="0" applyFont="1" applyBorder="1" applyAlignment="1" applyProtection="1">
      <alignment vertical="center"/>
      <protection hidden="1"/>
    </xf>
    <xf numFmtId="0" fontId="10" fillId="0" borderId="6" xfId="0" applyFont="1" applyBorder="1" applyProtection="1">
      <protection hidden="1"/>
    </xf>
    <xf numFmtId="0" fontId="10" fillId="0" borderId="7" xfId="0" applyFont="1" applyBorder="1" applyProtection="1">
      <protection hidden="1"/>
    </xf>
    <xf numFmtId="0" fontId="30" fillId="0" borderId="14" xfId="0" applyFont="1" applyBorder="1"/>
    <xf numFmtId="4" fontId="29" fillId="2" borderId="12" xfId="0" applyNumberFormat="1" applyFont="1" applyFill="1" applyBorder="1" applyAlignment="1">
      <alignment horizontal="right"/>
    </xf>
    <xf numFmtId="4" fontId="1" fillId="0" borderId="0" xfId="0" applyNumberFormat="1" applyFont="1"/>
    <xf numFmtId="0" fontId="19" fillId="0" borderId="0" xfId="0" applyFont="1" applyAlignment="1" applyProtection="1">
      <alignment horizontal="left" vertical="center"/>
      <protection locked="0"/>
    </xf>
    <xf numFmtId="0" fontId="3" fillId="7" borderId="0" xfId="0" applyFont="1" applyFill="1" applyAlignment="1">
      <alignment vertical="center" wrapText="1"/>
    </xf>
    <xf numFmtId="3" fontId="21" fillId="6" borderId="4" xfId="0" applyNumberFormat="1" applyFont="1" applyFill="1" applyBorder="1" applyAlignment="1" applyProtection="1">
      <alignment horizontal="right" vertical="center"/>
      <protection locked="0"/>
    </xf>
    <xf numFmtId="167" fontId="22" fillId="2" borderId="0" xfId="0" applyNumberFormat="1" applyFont="1" applyFill="1" applyAlignment="1">
      <alignment horizontal="right"/>
    </xf>
    <xf numFmtId="0" fontId="12" fillId="0" borderId="0" xfId="0" applyFont="1" applyAlignment="1">
      <alignment vertical="center"/>
    </xf>
    <xf numFmtId="0" fontId="0" fillId="0" borderId="0" xfId="0" applyAlignment="1">
      <alignment vertical="center"/>
    </xf>
    <xf numFmtId="0" fontId="20" fillId="0" borderId="0" xfId="0" applyFont="1" applyAlignment="1">
      <alignment vertical="center"/>
    </xf>
    <xf numFmtId="0" fontId="1" fillId="0" borderId="0" xfId="0" applyFont="1" applyAlignment="1">
      <alignment vertical="center"/>
    </xf>
    <xf numFmtId="0" fontId="19" fillId="0" borderId="0" xfId="0" applyFont="1" applyAlignment="1" applyProtection="1">
      <alignment horizontal="left" vertical="center" wrapText="1"/>
      <protection locked="0"/>
    </xf>
    <xf numFmtId="165" fontId="22" fillId="2" borderId="0" xfId="0" applyNumberFormat="1" applyFont="1" applyFill="1" applyAlignment="1">
      <alignment horizontal="left"/>
    </xf>
    <xf numFmtId="0" fontId="17" fillId="0" borderId="0" xfId="0" applyFont="1" applyAlignment="1">
      <alignment horizontal="left" vertical="top" wrapText="1"/>
    </xf>
    <xf numFmtId="0" fontId="4" fillId="0" borderId="0" xfId="0" applyFont="1" applyAlignment="1">
      <alignment horizontal="left" vertical="top"/>
    </xf>
    <xf numFmtId="0" fontId="1" fillId="0" borderId="0" xfId="0" applyFont="1" applyAlignment="1">
      <alignment horizontal="left" vertical="top"/>
    </xf>
    <xf numFmtId="0" fontId="5" fillId="0" borderId="0" xfId="0" applyFont="1" applyAlignment="1">
      <alignment horizontal="left" vertical="top"/>
    </xf>
    <xf numFmtId="0" fontId="3" fillId="2" borderId="26" xfId="0" applyFont="1" applyFill="1" applyBorder="1" applyAlignment="1">
      <alignment horizontal="left" vertical="center" wrapText="1"/>
    </xf>
    <xf numFmtId="0" fontId="3" fillId="2" borderId="1" xfId="0" applyFont="1" applyFill="1" applyBorder="1" applyAlignment="1">
      <alignment horizontal="left" vertical="center" wrapText="1"/>
    </xf>
    <xf numFmtId="0" fontId="22" fillId="2" borderId="0" xfId="0" applyFont="1" applyFill="1" applyAlignment="1" applyProtection="1">
      <alignment horizontal="left" vertical="center"/>
      <protection locked="0"/>
    </xf>
    <xf numFmtId="0" fontId="19" fillId="0" borderId="0" xfId="0" applyFont="1" applyAlignment="1" applyProtection="1">
      <alignment horizontal="left" vertical="center" wrapText="1"/>
      <protection locked="0"/>
    </xf>
    <xf numFmtId="0" fontId="0" fillId="0" borderId="0" xfId="0" applyAlignment="1">
      <alignment horizontal="left" vertical="center"/>
    </xf>
  </cellXfs>
  <cellStyles count="3">
    <cellStyle name="Standard" xfId="0" builtinId="0"/>
    <cellStyle name="Standard 3" xfId="2" xr:uid="{1066B4A7-EAF3-45ED-8620-ACF9B2084313}"/>
    <cellStyle name="Währung" xfId="1" builtinId="4"/>
  </cellStyles>
  <dxfs count="0"/>
  <tableStyles count="0" defaultTableStyle="TableStyleMedium2" defaultPivotStyle="PivotStyleLight16"/>
  <colors>
    <mruColors>
      <color rgb="FF706F6F"/>
      <color rgb="FFE1CD1C"/>
      <color rgb="FF1F2662"/>
      <color rgb="FF008B4A"/>
      <color rgb="FFFFFF9F"/>
      <color rgb="FFA8A8A7"/>
      <color rgb="FFD5D4E4"/>
      <color rgb="FFEBEBF3"/>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38100</xdr:colOff>
      <xdr:row>111</xdr:row>
      <xdr:rowOff>87630</xdr:rowOff>
    </xdr:from>
    <xdr:to>
      <xdr:col>3</xdr:col>
      <xdr:colOff>0</xdr:colOff>
      <xdr:row>112</xdr:row>
      <xdr:rowOff>142875</xdr:rowOff>
    </xdr:to>
    <xdr:cxnSp macro="">
      <xdr:nvCxnSpPr>
        <xdr:cNvPr id="2" name="Gerade Verbindung mit Pfeil 1">
          <a:extLst>
            <a:ext uri="{FF2B5EF4-FFF2-40B4-BE49-F238E27FC236}">
              <a16:creationId xmlns:a16="http://schemas.microsoft.com/office/drawing/2014/main" id="{9EFB2549-DDDD-4CA0-A47C-B3EEFC3475FE}"/>
            </a:ext>
          </a:extLst>
        </xdr:cNvPr>
        <xdr:cNvCxnSpPr/>
      </xdr:nvCxnSpPr>
      <xdr:spPr bwMode="auto">
        <a:xfrm flipH="1">
          <a:off x="3118757" y="15088144"/>
          <a:ext cx="2650672" cy="240302"/>
        </a:xfrm>
        <a:prstGeom prst="straightConnector1">
          <a:avLst/>
        </a:prstGeom>
        <a:solidFill>
          <a:srgbClr val="000000"/>
        </a:solidFill>
        <a:ln w="25400" cap="flat" cmpd="sng" algn="ctr">
          <a:solidFill>
            <a:schemeClr val="tx1"/>
          </a:solidFill>
          <a:prstDash val="solid"/>
          <a:round/>
          <a:headEnd type="none" w="med" len="med"/>
          <a:tailEnd type="arrow"/>
        </a:ln>
        <a:effec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7"/>
  <sheetViews>
    <sheetView tabSelected="1" showRuler="0" view="pageLayout" zoomScale="130" zoomScaleNormal="85" zoomScalePageLayoutView="130" workbookViewId="0">
      <selection activeCell="C5" sqref="C5"/>
    </sheetView>
  </sheetViews>
  <sheetFormatPr baseColWidth="10" defaultColWidth="11.44140625" defaultRowHeight="13.8"/>
  <cols>
    <col min="1" max="1" width="51.6640625" style="1" customWidth="1"/>
    <col min="2" max="2" width="5" style="1" customWidth="1"/>
    <col min="3" max="3" width="15" style="1" customWidth="1"/>
    <col min="4" max="4" width="10.33203125" style="1" customWidth="1"/>
    <col min="5" max="5" width="3.88671875" style="1" customWidth="1"/>
    <col min="6" max="6" width="3.6640625" style="1" customWidth="1"/>
    <col min="7" max="7" width="3.33203125" style="1" customWidth="1"/>
    <col min="8" max="8" width="46.109375" style="1" customWidth="1"/>
    <col min="9" max="9" width="14.5546875" style="1" customWidth="1"/>
    <col min="10" max="10" width="10.44140625" style="1" customWidth="1"/>
    <col min="11" max="16384" width="11.44140625" style="1"/>
  </cols>
  <sheetData>
    <row r="1" spans="1:10" ht="27.6">
      <c r="A1" s="127" t="s">
        <v>162</v>
      </c>
      <c r="B1" s="126"/>
      <c r="C1" s="126"/>
      <c r="D1" s="126"/>
      <c r="E1" s="126"/>
      <c r="F1" s="126"/>
      <c r="G1" s="126"/>
      <c r="H1" s="126"/>
      <c r="I1" s="126"/>
      <c r="J1" s="126"/>
    </row>
    <row r="2" spans="1:10" ht="22.8">
      <c r="A2" s="125" t="s">
        <v>167</v>
      </c>
      <c r="B2" s="126"/>
      <c r="C2" s="126"/>
      <c r="D2" s="126"/>
      <c r="E2" s="126"/>
      <c r="F2" s="126"/>
      <c r="G2" s="126"/>
      <c r="H2" s="126"/>
      <c r="I2" s="126"/>
      <c r="J2" s="126"/>
    </row>
    <row r="3" spans="1:10" ht="20.399999999999999">
      <c r="A3" s="2"/>
      <c r="B3" s="3"/>
      <c r="C3" s="3"/>
      <c r="D3" s="3"/>
      <c r="E3" s="3"/>
      <c r="F3" s="3"/>
      <c r="G3" s="3"/>
      <c r="H3" s="3"/>
      <c r="I3" s="3"/>
      <c r="J3" s="3"/>
    </row>
    <row r="4" spans="1:10" ht="30.75" customHeight="1">
      <c r="A4" s="128" t="s">
        <v>168</v>
      </c>
      <c r="B4" s="128"/>
      <c r="C4" s="128"/>
      <c r="D4" s="129"/>
      <c r="E4" s="118"/>
      <c r="F4" s="118"/>
      <c r="G4" s="119"/>
    </row>
    <row r="5" spans="1:10" ht="19.350000000000001" customHeight="1">
      <c r="A5" s="36" t="s">
        <v>88</v>
      </c>
      <c r="B5" s="36" t="s">
        <v>6</v>
      </c>
      <c r="C5" s="116">
        <v>10000</v>
      </c>
      <c r="D5" s="42" t="s">
        <v>7</v>
      </c>
      <c r="E5" s="120"/>
      <c r="F5" s="38"/>
      <c r="G5" s="120"/>
      <c r="H5" s="114" t="s">
        <v>161</v>
      </c>
      <c r="I5" s="114"/>
      <c r="J5" s="114"/>
    </row>
    <row r="6" spans="1:10" ht="19.350000000000001" customHeight="1">
      <c r="A6" s="36" t="s">
        <v>151</v>
      </c>
      <c r="B6" s="36" t="s">
        <v>3</v>
      </c>
      <c r="C6" s="47">
        <v>-12</v>
      </c>
      <c r="D6" s="42" t="s">
        <v>0</v>
      </c>
      <c r="E6" s="120"/>
      <c r="F6" s="38"/>
      <c r="G6" s="120"/>
      <c r="H6" s="114" t="s">
        <v>90</v>
      </c>
      <c r="I6" s="114"/>
      <c r="J6" s="114"/>
    </row>
    <row r="7" spans="1:10" ht="19.350000000000001" customHeight="1">
      <c r="A7" s="36" t="s">
        <v>152</v>
      </c>
      <c r="B7" s="36" t="s">
        <v>9</v>
      </c>
      <c r="C7" s="47">
        <v>90</v>
      </c>
      <c r="D7" s="42" t="s">
        <v>10</v>
      </c>
      <c r="E7" s="120"/>
      <c r="F7" s="38"/>
      <c r="G7" s="120"/>
      <c r="H7" s="114" t="s">
        <v>127</v>
      </c>
      <c r="I7" s="114"/>
      <c r="J7" s="114"/>
    </row>
    <row r="8" spans="1:10" ht="24.9" customHeight="1">
      <c r="A8" s="36" t="s">
        <v>153</v>
      </c>
      <c r="B8" s="1" t="s">
        <v>18</v>
      </c>
      <c r="C8" s="47">
        <v>22</v>
      </c>
      <c r="D8" s="42" t="s">
        <v>0</v>
      </c>
      <c r="E8" s="120"/>
      <c r="F8" s="38"/>
      <c r="G8" s="120"/>
      <c r="H8" s="114" t="s">
        <v>94</v>
      </c>
      <c r="I8" s="114"/>
      <c r="J8" s="114"/>
    </row>
    <row r="9" spans="1:10" ht="24.9" customHeight="1">
      <c r="A9" s="36" t="s">
        <v>154</v>
      </c>
      <c r="B9" s="36" t="s">
        <v>17</v>
      </c>
      <c r="C9" s="47">
        <v>50</v>
      </c>
      <c r="D9" s="42" t="s">
        <v>10</v>
      </c>
      <c r="E9" s="120"/>
      <c r="F9" s="38"/>
      <c r="G9" s="120"/>
      <c r="H9" s="114" t="s">
        <v>128</v>
      </c>
      <c r="I9" s="114"/>
      <c r="J9" s="114"/>
    </row>
    <row r="10" spans="1:10" ht="24.9" customHeight="1">
      <c r="A10" s="39" t="s">
        <v>12</v>
      </c>
      <c r="B10" s="36" t="s">
        <v>13</v>
      </c>
      <c r="C10" s="47">
        <v>100</v>
      </c>
      <c r="D10" s="42" t="s">
        <v>10</v>
      </c>
      <c r="E10" s="120"/>
      <c r="F10" s="38"/>
      <c r="G10" s="120"/>
      <c r="H10" s="114" t="s">
        <v>166</v>
      </c>
      <c r="I10" s="114"/>
      <c r="J10" s="114"/>
    </row>
    <row r="11" spans="1:10" ht="24.9" customHeight="1">
      <c r="A11" s="39" t="s">
        <v>92</v>
      </c>
      <c r="B11" s="36" t="s">
        <v>93</v>
      </c>
      <c r="C11" s="47">
        <v>0</v>
      </c>
      <c r="D11" s="42" t="s">
        <v>10</v>
      </c>
      <c r="E11" s="120"/>
      <c r="F11" s="38"/>
      <c r="G11" s="120"/>
      <c r="H11" s="122" t="s">
        <v>165</v>
      </c>
      <c r="I11" s="114"/>
      <c r="J11" s="114"/>
    </row>
    <row r="12" spans="1:10" ht="24.9" customHeight="1">
      <c r="A12" s="39" t="s">
        <v>155</v>
      </c>
      <c r="B12" s="36"/>
      <c r="C12" s="116">
        <v>2800</v>
      </c>
      <c r="D12" s="42" t="s">
        <v>95</v>
      </c>
      <c r="E12" s="120"/>
      <c r="F12" s="38"/>
      <c r="G12" s="120"/>
      <c r="H12" s="114" t="s">
        <v>158</v>
      </c>
      <c r="I12" s="114"/>
      <c r="J12" s="114"/>
    </row>
    <row r="13" spans="1:10" ht="24.9" customHeight="1">
      <c r="A13" s="36" t="s">
        <v>4</v>
      </c>
      <c r="B13" s="36"/>
      <c r="C13" s="48">
        <v>0.3</v>
      </c>
      <c r="D13" s="42" t="s">
        <v>5</v>
      </c>
      <c r="E13" s="120"/>
      <c r="F13" s="38"/>
      <c r="G13" s="120"/>
      <c r="H13" s="121"/>
      <c r="I13"/>
      <c r="J13"/>
    </row>
    <row r="14" spans="1:10" ht="19.350000000000001" customHeight="1">
      <c r="A14" s="36" t="s">
        <v>156</v>
      </c>
      <c r="B14" s="36"/>
      <c r="C14" s="47">
        <v>0.04</v>
      </c>
      <c r="D14" s="42" t="s">
        <v>5</v>
      </c>
      <c r="E14" s="120"/>
      <c r="F14" s="38"/>
      <c r="G14" s="120"/>
      <c r="H14" s="114" t="s">
        <v>159</v>
      </c>
      <c r="J14"/>
    </row>
    <row r="15" spans="1:10" ht="19.350000000000001" customHeight="1">
      <c r="A15" s="130" t="s">
        <v>163</v>
      </c>
      <c r="B15" s="130"/>
      <c r="C15" s="117">
        <f>'Do not change this Data'!C25*'Do not change this Data'!C35</f>
        <v>229592.46010723442</v>
      </c>
      <c r="D15" s="123" t="s">
        <v>164</v>
      </c>
      <c r="E15" s="37"/>
      <c r="F15" s="38"/>
      <c r="G15" s="37"/>
      <c r="I15"/>
      <c r="J15"/>
    </row>
    <row r="16" spans="1:10" ht="19.350000000000001" customHeight="1">
      <c r="A16" s="114"/>
      <c r="B16" s="114"/>
      <c r="C16" s="114"/>
      <c r="D16" s="114"/>
      <c r="E16" s="37"/>
      <c r="F16" s="38"/>
      <c r="G16" s="37"/>
      <c r="I16"/>
      <c r="J16"/>
    </row>
    <row r="17" spans="1:10" ht="45" customHeight="1">
      <c r="A17" s="40" t="s">
        <v>169</v>
      </c>
      <c r="B17" s="40"/>
      <c r="C17" s="49">
        <f>'Do not change this Data'!C40</f>
        <v>6693.4173571473766</v>
      </c>
      <c r="D17" s="43" t="s">
        <v>85</v>
      </c>
      <c r="F17" s="44" t="s">
        <v>86</v>
      </c>
      <c r="H17" s="115" t="s">
        <v>170</v>
      </c>
      <c r="I17" s="51">
        <f>'Do not change this Data'!C42</f>
        <v>51240</v>
      </c>
      <c r="J17" s="52" t="s">
        <v>85</v>
      </c>
    </row>
    <row r="18" spans="1:10" ht="19.350000000000001" customHeight="1">
      <c r="A18" s="1" t="s">
        <v>126</v>
      </c>
      <c r="C18" s="113">
        <f>'Do not change this Data'!C39</f>
        <v>0.18039407579854133</v>
      </c>
      <c r="D18" s="1" t="s">
        <v>20</v>
      </c>
      <c r="H18" s="1" t="s">
        <v>124</v>
      </c>
      <c r="I18" s="113">
        <f>'Do not change this Data'!C41</f>
        <v>61</v>
      </c>
      <c r="J18" s="1" t="s">
        <v>20</v>
      </c>
    </row>
    <row r="19" spans="1:10" ht="19.350000000000001" customHeight="1">
      <c r="C19" s="113"/>
      <c r="J19" s="113"/>
    </row>
    <row r="20" spans="1:10" ht="39" customHeight="1">
      <c r="A20" s="53" t="s">
        <v>125</v>
      </c>
      <c r="B20" s="45"/>
      <c r="C20" s="50">
        <f>'Do not change this Data'!C44</f>
        <v>44500</v>
      </c>
      <c r="D20" s="46" t="s">
        <v>85</v>
      </c>
      <c r="H20" s="131" t="s">
        <v>157</v>
      </c>
      <c r="I20" s="132"/>
      <c r="J20" s="132"/>
    </row>
    <row r="21" spans="1:10" ht="19.350000000000001" customHeight="1">
      <c r="A21" s="1" t="s">
        <v>129</v>
      </c>
      <c r="C21" s="113">
        <f>'Do not change this Data'!C43</f>
        <v>170295</v>
      </c>
      <c r="D21" s="1" t="s">
        <v>87</v>
      </c>
      <c r="I21"/>
      <c r="J21"/>
    </row>
    <row r="23" spans="1:10" ht="66" customHeight="1">
      <c r="A23" s="124" t="s">
        <v>160</v>
      </c>
      <c r="B23" s="124"/>
      <c r="C23" s="124"/>
      <c r="D23" s="124"/>
      <c r="E23" s="124"/>
      <c r="F23" s="124"/>
      <c r="G23" s="124"/>
      <c r="H23" s="124"/>
      <c r="I23" s="124"/>
      <c r="J23" s="124"/>
    </row>
    <row r="24" spans="1:10" ht="14.4">
      <c r="A24" s="35"/>
      <c r="B24" s="35"/>
      <c r="C24" s="35"/>
      <c r="D24" s="35"/>
      <c r="E24" s="35"/>
      <c r="F24" s="35"/>
      <c r="G24" s="35"/>
      <c r="H24" s="35"/>
      <c r="I24" s="35"/>
      <c r="J24" s="35"/>
    </row>
    <row r="25" spans="1:10" ht="14.4">
      <c r="A25" s="35"/>
      <c r="B25" s="35"/>
      <c r="C25" s="35"/>
      <c r="D25" s="35"/>
      <c r="E25" s="35"/>
      <c r="F25" s="35"/>
      <c r="G25" s="35"/>
      <c r="H25" s="35"/>
      <c r="I25" s="35"/>
      <c r="J25" s="35"/>
    </row>
    <row r="26" spans="1:10" ht="14.4">
      <c r="A26" s="35"/>
      <c r="B26" s="35"/>
      <c r="C26" s="35"/>
      <c r="D26" s="35"/>
      <c r="E26" s="35"/>
      <c r="F26" s="35"/>
      <c r="G26" s="35"/>
      <c r="H26" s="35"/>
      <c r="I26" s="35"/>
      <c r="J26" s="35"/>
    </row>
    <row r="27" spans="1:10" ht="14.4">
      <c r="A27" s="35"/>
      <c r="B27" s="35"/>
      <c r="C27" s="35"/>
      <c r="D27" s="35"/>
      <c r="E27" s="35"/>
      <c r="F27" s="35"/>
      <c r="G27" s="35"/>
      <c r="H27" s="35"/>
      <c r="I27" s="35"/>
      <c r="J27" s="35"/>
    </row>
  </sheetData>
  <mergeCells count="6">
    <mergeCell ref="A23:J23"/>
    <mergeCell ref="A2:J2"/>
    <mergeCell ref="A1:J1"/>
    <mergeCell ref="A4:D4"/>
    <mergeCell ref="A15:B15"/>
    <mergeCell ref="H20:J20"/>
  </mergeCells>
  <pageMargins left="0.7" right="0.59166666666666667" top="0.88095238095238093" bottom="0.8571428571428571" header="0.3" footer="0.3"/>
  <pageSetup paperSize="9" scale="80" fitToWidth="0" fitToHeight="0" orientation="landscape" r:id="rId1"/>
  <headerFooter>
    <oddHeader>&amp;R&amp;G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4D68D-B25A-42B2-A09A-D33E03607E66}">
  <dimension ref="A1:D165"/>
  <sheetViews>
    <sheetView topLeftCell="A69" workbookViewId="0">
      <selection activeCell="C43" sqref="C43"/>
    </sheetView>
  </sheetViews>
  <sheetFormatPr baseColWidth="10" defaultRowHeight="14.4" outlineLevelRow="1"/>
  <cols>
    <col min="1" max="1" width="24.6640625" customWidth="1"/>
    <col min="2" max="2" width="8.6640625" customWidth="1"/>
    <col min="3" max="3" width="25.88671875" customWidth="1"/>
    <col min="4" max="5" width="25.33203125" customWidth="1"/>
  </cols>
  <sheetData>
    <row r="1" spans="1:4" s="4" customFormat="1" ht="7.2" customHeight="1">
      <c r="A1" s="60"/>
      <c r="B1" s="61"/>
      <c r="C1" s="64"/>
      <c r="D1" s="63"/>
    </row>
    <row r="2" spans="1:4" s="4" customFormat="1" ht="13.8">
      <c r="A2" s="60" t="s">
        <v>88</v>
      </c>
      <c r="B2" s="61" t="s">
        <v>6</v>
      </c>
      <c r="C2" s="65">
        <f>Berechnung!C5</f>
        <v>10000</v>
      </c>
      <c r="D2" s="63" t="s">
        <v>89</v>
      </c>
    </row>
    <row r="3" spans="1:4" s="4" customFormat="1" thickBot="1">
      <c r="A3" s="67" t="s">
        <v>130</v>
      </c>
      <c r="B3" s="68" t="s">
        <v>2</v>
      </c>
      <c r="C3" s="69">
        <v>500</v>
      </c>
      <c r="D3" s="70" t="s">
        <v>1</v>
      </c>
    </row>
    <row r="4" spans="1:4" s="4" customFormat="1" thickBot="1">
      <c r="A4" s="5"/>
      <c r="B4" s="5"/>
      <c r="C4" s="5"/>
      <c r="D4" s="5"/>
    </row>
    <row r="5" spans="1:4" s="4" customFormat="1" thickBot="1">
      <c r="A5" s="56" t="s">
        <v>131</v>
      </c>
      <c r="B5" s="57"/>
      <c r="C5" s="58"/>
      <c r="D5" s="59"/>
    </row>
    <row r="6" spans="1:4" s="4" customFormat="1" ht="7.2" customHeight="1">
      <c r="A6" s="71"/>
      <c r="B6" s="5"/>
      <c r="C6" s="5"/>
      <c r="D6" s="54"/>
    </row>
    <row r="7" spans="1:4" s="4" customFormat="1" ht="13.8">
      <c r="A7" s="60" t="s">
        <v>132</v>
      </c>
      <c r="B7" s="61" t="s">
        <v>3</v>
      </c>
      <c r="C7" s="62">
        <f>Berechnung!C6</f>
        <v>-12</v>
      </c>
      <c r="D7" s="63" t="s">
        <v>0</v>
      </c>
    </row>
    <row r="8" spans="1:4" s="4" customFormat="1" ht="13.8">
      <c r="A8" s="60" t="s">
        <v>8</v>
      </c>
      <c r="B8" s="61" t="s">
        <v>9</v>
      </c>
      <c r="C8" s="62">
        <f>Berechnung!C7</f>
        <v>90</v>
      </c>
      <c r="D8" s="63" t="s">
        <v>10</v>
      </c>
    </row>
    <row r="9" spans="1:4" s="4" customFormat="1" ht="13.8">
      <c r="A9" s="60" t="s">
        <v>133</v>
      </c>
      <c r="B9" s="61" t="s">
        <v>18</v>
      </c>
      <c r="C9" s="62">
        <f>Berechnung!C8</f>
        <v>22</v>
      </c>
      <c r="D9" s="63" t="s">
        <v>0</v>
      </c>
    </row>
    <row r="10" spans="1:4" s="4" customFormat="1" ht="13.8">
      <c r="A10" s="60" t="s">
        <v>91</v>
      </c>
      <c r="B10" s="61" t="s">
        <v>17</v>
      </c>
      <c r="C10" s="62">
        <f>Berechnung!C9</f>
        <v>50</v>
      </c>
      <c r="D10" s="63" t="s">
        <v>10</v>
      </c>
    </row>
    <row r="11" spans="1:4" s="4" customFormat="1" ht="13.8">
      <c r="A11" s="60" t="s">
        <v>12</v>
      </c>
      <c r="B11" s="61" t="s">
        <v>13</v>
      </c>
      <c r="C11" s="62">
        <f>Berechnung!C10</f>
        <v>100</v>
      </c>
      <c r="D11" s="63" t="s">
        <v>10</v>
      </c>
    </row>
    <row r="12" spans="1:4" s="4" customFormat="1" ht="13.8">
      <c r="A12" s="60" t="s">
        <v>92</v>
      </c>
      <c r="B12" s="61" t="s">
        <v>93</v>
      </c>
      <c r="C12" s="62">
        <f>Berechnung!C11</f>
        <v>0</v>
      </c>
      <c r="D12" s="63" t="s">
        <v>10</v>
      </c>
    </row>
    <row r="13" spans="1:4" s="4" customFormat="1" ht="13.8">
      <c r="A13" s="60" t="s">
        <v>134</v>
      </c>
      <c r="B13" s="61" t="s">
        <v>96</v>
      </c>
      <c r="C13" s="62">
        <v>50</v>
      </c>
      <c r="D13" s="63" t="s">
        <v>10</v>
      </c>
    </row>
    <row r="14" spans="1:4" s="4" customFormat="1" ht="7.2" customHeight="1">
      <c r="A14" s="72"/>
      <c r="B14" s="73"/>
      <c r="C14" s="73"/>
      <c r="D14" s="74"/>
    </row>
    <row r="15" spans="1:4" s="4" customFormat="1" ht="13.8">
      <c r="A15" s="60" t="s">
        <v>135</v>
      </c>
      <c r="B15" s="61" t="s">
        <v>14</v>
      </c>
      <c r="C15" s="75">
        <f>C72*1000</f>
        <v>1.4390511605072078</v>
      </c>
      <c r="D15" s="63" t="s">
        <v>15</v>
      </c>
    </row>
    <row r="16" spans="1:4" s="4" customFormat="1" ht="13.8">
      <c r="A16" s="60" t="s">
        <v>119</v>
      </c>
      <c r="B16" s="61" t="s">
        <v>14</v>
      </c>
      <c r="C16" s="75">
        <f>C73*1000</f>
        <v>1.4390511605072078</v>
      </c>
      <c r="D16" s="63" t="s">
        <v>15</v>
      </c>
    </row>
    <row r="17" spans="1:4" s="4" customFormat="1" ht="13.8">
      <c r="A17" s="60" t="s">
        <v>100</v>
      </c>
      <c r="B17" s="61" t="s">
        <v>11</v>
      </c>
      <c r="C17" s="75">
        <f>(C74-C73)*1000</f>
        <v>7.2736029962023911</v>
      </c>
      <c r="D17" s="63" t="s">
        <v>15</v>
      </c>
    </row>
    <row r="18" spans="1:4" s="4" customFormat="1" ht="13.8">
      <c r="A18" s="60" t="s">
        <v>136</v>
      </c>
      <c r="B18" s="61" t="s">
        <v>16</v>
      </c>
      <c r="C18" s="75">
        <f>C74*1000</f>
        <v>8.7126541567095988</v>
      </c>
      <c r="D18" s="63" t="s">
        <v>15</v>
      </c>
    </row>
    <row r="19" spans="1:4" s="4" customFormat="1" ht="7.2" customHeight="1">
      <c r="A19" s="72"/>
      <c r="B19" s="73"/>
      <c r="C19" s="41"/>
      <c r="D19" s="74"/>
    </row>
    <row r="20" spans="1:4" s="4" customFormat="1" ht="13.8">
      <c r="A20" s="60" t="s">
        <v>120</v>
      </c>
      <c r="B20" s="61" t="s">
        <v>21</v>
      </c>
      <c r="C20" s="66">
        <f>C81</f>
        <v>54.078115792858341</v>
      </c>
      <c r="D20" s="63" t="s">
        <v>20</v>
      </c>
    </row>
    <row r="21" spans="1:4" s="4" customFormat="1" ht="13.8">
      <c r="A21" s="60" t="s">
        <v>19</v>
      </c>
      <c r="B21" s="61" t="s">
        <v>97</v>
      </c>
      <c r="C21" s="66">
        <f>C82</f>
        <v>58.409699406041092</v>
      </c>
      <c r="D21" s="63" t="s">
        <v>20</v>
      </c>
    </row>
    <row r="22" spans="1:4" s="4" customFormat="1" ht="13.8">
      <c r="A22" s="60" t="s">
        <v>121</v>
      </c>
      <c r="B22" s="61" t="s">
        <v>98</v>
      </c>
      <c r="C22" s="66">
        <f>C83</f>
        <v>112.48781519889943</v>
      </c>
      <c r="D22" s="63" t="s">
        <v>20</v>
      </c>
    </row>
    <row r="23" spans="1:4" s="4" customFormat="1" ht="13.8">
      <c r="A23" s="60" t="s">
        <v>122</v>
      </c>
      <c r="B23" s="61" t="s">
        <v>99</v>
      </c>
      <c r="C23" s="66">
        <f>C84</f>
        <v>40.703366466617233</v>
      </c>
      <c r="D23" s="63" t="s">
        <v>0</v>
      </c>
    </row>
    <row r="24" spans="1:4" s="4" customFormat="1" ht="7.2" customHeight="1" thickBot="1">
      <c r="A24" s="71"/>
      <c r="B24" s="5"/>
      <c r="C24" s="76"/>
      <c r="D24" s="54"/>
    </row>
    <row r="25" spans="1:4" s="4" customFormat="1" thickBot="1">
      <c r="A25" s="77" t="s">
        <v>100</v>
      </c>
      <c r="B25" s="57"/>
      <c r="C25" s="78">
        <f>C63*(C74-C73)</f>
        <v>81.997307181155151</v>
      </c>
      <c r="D25" s="59" t="s">
        <v>22</v>
      </c>
    </row>
    <row r="26" spans="1:4" s="4" customFormat="1" thickBot="1">
      <c r="A26" s="6" t="s">
        <v>137</v>
      </c>
      <c r="B26" s="5"/>
      <c r="C26" s="79">
        <v>10</v>
      </c>
      <c r="D26" s="5" t="s">
        <v>10</v>
      </c>
    </row>
    <row r="27" spans="1:4" s="4" customFormat="1" thickBot="1">
      <c r="A27" s="77" t="s">
        <v>138</v>
      </c>
      <c r="B27" s="57"/>
      <c r="C27" s="78">
        <f>C25*(1+C26%)</f>
        <v>90.197037899270669</v>
      </c>
      <c r="D27" s="59" t="s">
        <v>22</v>
      </c>
    </row>
    <row r="28" spans="1:4" s="4" customFormat="1" ht="13.8">
      <c r="A28" s="6"/>
      <c r="B28" s="5"/>
      <c r="C28" s="7"/>
      <c r="D28" s="5"/>
    </row>
    <row r="29" spans="1:4" s="4" customFormat="1" ht="16.2" customHeight="1" outlineLevel="1">
      <c r="A29" s="6"/>
      <c r="B29" s="5"/>
      <c r="C29" s="7"/>
      <c r="D29" s="5"/>
    </row>
    <row r="30" spans="1:4" s="4" customFormat="1" ht="13.8" outlineLevel="1">
      <c r="A30" s="85" t="s">
        <v>139</v>
      </c>
      <c r="B30" s="86" t="s">
        <v>102</v>
      </c>
      <c r="C30" s="88">
        <f>2.2*C25/1000</f>
        <v>0.18039407579854133</v>
      </c>
      <c r="D30" s="80" t="s">
        <v>101</v>
      </c>
    </row>
    <row r="31" spans="1:4" s="4" customFormat="1" ht="7.2" customHeight="1" outlineLevel="1">
      <c r="A31" s="89"/>
      <c r="B31" s="83"/>
      <c r="C31" s="90"/>
      <c r="D31" s="84"/>
    </row>
    <row r="32" spans="1:4" s="4" customFormat="1" outlineLevel="1" thickBot="1">
      <c r="A32" s="6"/>
      <c r="B32" s="5"/>
      <c r="C32" s="5"/>
      <c r="D32" s="5"/>
    </row>
    <row r="33" spans="1:4" s="55" customFormat="1" thickBot="1">
      <c r="A33" s="56" t="s">
        <v>140</v>
      </c>
      <c r="B33" s="102"/>
      <c r="C33" s="103"/>
      <c r="D33" s="104"/>
    </row>
    <row r="34" spans="1:4" s="4" customFormat="1" ht="7.2" customHeight="1">
      <c r="A34" s="71"/>
      <c r="B34" s="6"/>
      <c r="C34" s="6"/>
      <c r="D34" s="93"/>
    </row>
    <row r="35" spans="1:4" s="4" customFormat="1" ht="13.8">
      <c r="A35" s="85" t="s">
        <v>64</v>
      </c>
      <c r="B35" s="87" t="s">
        <v>103</v>
      </c>
      <c r="C35" s="94">
        <f>Berechnung!C12</f>
        <v>2800</v>
      </c>
      <c r="D35" s="95" t="s">
        <v>95</v>
      </c>
    </row>
    <row r="36" spans="1:4" s="4" customFormat="1" thickBot="1">
      <c r="A36" s="85" t="s">
        <v>53</v>
      </c>
      <c r="B36" s="87"/>
      <c r="C36" s="105">
        <f>Berechnung!C13</f>
        <v>0.3</v>
      </c>
      <c r="D36" s="95" t="s">
        <v>5</v>
      </c>
    </row>
    <row r="37" spans="1:4" s="4" customFormat="1" thickBot="1">
      <c r="A37" s="85" t="s">
        <v>141</v>
      </c>
      <c r="B37" s="106"/>
      <c r="C37" s="107">
        <f>Berechnung!C14</f>
        <v>0.04</v>
      </c>
      <c r="D37" s="95" t="s">
        <v>5</v>
      </c>
    </row>
    <row r="38" spans="1:4" s="4" customFormat="1" ht="7.2" customHeight="1">
      <c r="A38" s="85"/>
      <c r="B38" s="87"/>
      <c r="C38" s="108"/>
      <c r="D38" s="95"/>
    </row>
    <row r="39" spans="1:4" s="4" customFormat="1" ht="13.8">
      <c r="A39" s="85" t="s">
        <v>139</v>
      </c>
      <c r="B39" s="87" t="s">
        <v>102</v>
      </c>
      <c r="C39" s="94">
        <f>C30</f>
        <v>0.18039407579854133</v>
      </c>
      <c r="D39" s="95" t="s">
        <v>20</v>
      </c>
    </row>
    <row r="40" spans="1:4" s="4" customFormat="1" ht="13.8">
      <c r="A40" s="85" t="s">
        <v>142</v>
      </c>
      <c r="B40" s="87"/>
      <c r="C40" s="94">
        <f>C39*C35*C36+C35*C21*C37</f>
        <v>6693.4173571473766</v>
      </c>
      <c r="D40" s="95" t="s">
        <v>104</v>
      </c>
    </row>
    <row r="41" spans="1:4" s="4" customFormat="1" ht="13.8">
      <c r="A41" s="85" t="s">
        <v>143</v>
      </c>
      <c r="B41" s="87" t="s">
        <v>105</v>
      </c>
      <c r="C41" s="94">
        <f>ROUND(C25*0.75,0)</f>
        <v>61</v>
      </c>
      <c r="D41" s="95" t="s">
        <v>20</v>
      </c>
    </row>
    <row r="42" spans="1:4" s="4" customFormat="1" ht="13.8">
      <c r="A42" s="85" t="s">
        <v>144</v>
      </c>
      <c r="B42" s="87"/>
      <c r="C42" s="94">
        <f>C41*C35*C36</f>
        <v>51240</v>
      </c>
      <c r="D42" s="95" t="s">
        <v>104</v>
      </c>
    </row>
    <row r="43" spans="1:4" s="4" customFormat="1" thickBot="1">
      <c r="A43" s="91" t="s">
        <v>145</v>
      </c>
      <c r="B43" s="92"/>
      <c r="C43" s="96">
        <f>ROUND((C41-C39)*C35,0)</f>
        <v>170295</v>
      </c>
      <c r="D43" s="97" t="s">
        <v>87</v>
      </c>
    </row>
    <row r="44" spans="1:4" s="4" customFormat="1" thickBot="1">
      <c r="A44" s="77" t="s">
        <v>146</v>
      </c>
      <c r="B44" s="81"/>
      <c r="C44" s="98">
        <f>ROUND(C42-C40,-2)</f>
        <v>44500</v>
      </c>
      <c r="D44" s="82" t="s">
        <v>104</v>
      </c>
    </row>
    <row r="45" spans="1:4" s="4" customFormat="1" ht="7.2" customHeight="1">
      <c r="A45" s="71"/>
      <c r="B45" s="6"/>
      <c r="C45" s="6"/>
      <c r="D45" s="93"/>
    </row>
    <row r="46" spans="1:4" s="4" customFormat="1" ht="13.8" hidden="1">
      <c r="A46" s="60" t="s">
        <v>147</v>
      </c>
      <c r="B46" s="109"/>
      <c r="C46" s="75">
        <v>537</v>
      </c>
      <c r="D46" s="110" t="s">
        <v>106</v>
      </c>
    </row>
    <row r="47" spans="1:4" s="4" customFormat="1" ht="13.8" hidden="1">
      <c r="A47" s="60" t="s">
        <v>148</v>
      </c>
      <c r="B47" s="109"/>
      <c r="C47" s="75">
        <f t="shared" ref="C47" si="0">C39*C35*C46/1000/1000</f>
        <v>0.27124053237068674</v>
      </c>
      <c r="D47" s="110" t="s">
        <v>107</v>
      </c>
    </row>
    <row r="48" spans="1:4" s="4" customFormat="1" hidden="1" thickBot="1">
      <c r="A48" s="67" t="s">
        <v>149</v>
      </c>
      <c r="B48" s="99"/>
      <c r="C48" s="100">
        <f t="shared" ref="C48" si="1">C41*C35*C46/1000/1000</f>
        <v>91.7196</v>
      </c>
      <c r="D48" s="101" t="s">
        <v>107</v>
      </c>
    </row>
    <row r="49" spans="1:4" s="4" customFormat="1" hidden="1" thickBot="1">
      <c r="A49" s="77" t="s">
        <v>150</v>
      </c>
      <c r="B49" s="81"/>
      <c r="C49" s="98">
        <f t="shared" ref="C49" si="2">C48-C47</f>
        <v>91.448359467629317</v>
      </c>
      <c r="D49" s="82" t="s">
        <v>107</v>
      </c>
    </row>
    <row r="50" spans="1:4" s="4" customFormat="1" ht="13.8"/>
    <row r="51" spans="1:4" s="4" customFormat="1" ht="13.8"/>
    <row r="52" spans="1:4" s="4" customFormat="1" ht="15.6" outlineLevel="1">
      <c r="A52" s="111" t="s">
        <v>108</v>
      </c>
    </row>
    <row r="53" spans="1:4" s="4" customFormat="1" ht="13.8" outlineLevel="1">
      <c r="A53" s="4" t="s">
        <v>23</v>
      </c>
      <c r="B53" s="4" t="s">
        <v>24</v>
      </c>
      <c r="C53" s="4">
        <f>1013.25*((1-(0.0065*C3)/288.15)^5.255)</f>
        <v>954.61788007933478</v>
      </c>
      <c r="D53" s="4" t="s">
        <v>25</v>
      </c>
    </row>
    <row r="54" spans="1:4" s="4" customFormat="1" ht="13.8" outlineLevel="1"/>
    <row r="55" spans="1:4" s="4" customFormat="1" ht="13.8" outlineLevel="1">
      <c r="A55" s="4" t="s">
        <v>26</v>
      </c>
      <c r="B55" s="4" t="s">
        <v>109</v>
      </c>
      <c r="C55" s="4">
        <v>287.05</v>
      </c>
      <c r="D55" s="4" t="s">
        <v>27</v>
      </c>
    </row>
    <row r="56" spans="1:4" s="4" customFormat="1" ht="13.8" outlineLevel="1">
      <c r="A56" s="4" t="s">
        <v>28</v>
      </c>
      <c r="B56" s="4" t="s">
        <v>110</v>
      </c>
      <c r="C56" s="4">
        <v>461.53</v>
      </c>
      <c r="D56" s="4" t="s">
        <v>27</v>
      </c>
    </row>
    <row r="57" spans="1:4" s="4" customFormat="1" ht="13.8" outlineLevel="1"/>
    <row r="58" spans="1:4" s="4" customFormat="1" ht="13.8" outlineLevel="1">
      <c r="A58" s="4" t="s">
        <v>29</v>
      </c>
      <c r="B58" s="4" t="s">
        <v>111</v>
      </c>
      <c r="C58" s="4">
        <f>(C53*100)/(C55*(273+C7))</f>
        <v>1.2741821182438275</v>
      </c>
      <c r="D58" s="4" t="s">
        <v>30</v>
      </c>
    </row>
    <row r="59" spans="1:4" s="4" customFormat="1" ht="13.8" outlineLevel="1">
      <c r="A59" s="4" t="s">
        <v>29</v>
      </c>
      <c r="B59" s="4" t="s">
        <v>112</v>
      </c>
      <c r="C59" s="4">
        <f>(C53*100)/(C55*(273+C9))</f>
        <v>1.1273272300394541</v>
      </c>
      <c r="D59" s="4" t="s">
        <v>30</v>
      </c>
    </row>
    <row r="60" spans="1:4" s="4" customFormat="1" ht="13.8" outlineLevel="1">
      <c r="A60" s="4" t="s">
        <v>113</v>
      </c>
      <c r="B60" s="4" t="s">
        <v>112</v>
      </c>
      <c r="C60" s="4">
        <f>(C53*100)/(C55*(273+C66))</f>
        <v>1.1962645066965429</v>
      </c>
      <c r="D60" s="4" t="s">
        <v>30</v>
      </c>
    </row>
    <row r="61" spans="1:4" s="4" customFormat="1" ht="13.8" outlineLevel="1"/>
    <row r="62" spans="1:4" s="4" customFormat="1" ht="13.8" outlineLevel="1">
      <c r="A62" s="4" t="s">
        <v>31</v>
      </c>
      <c r="B62" s="4" t="s">
        <v>114</v>
      </c>
      <c r="C62" s="4">
        <f>C2*C58</f>
        <v>12741.821182438276</v>
      </c>
      <c r="D62" s="4" t="s">
        <v>32</v>
      </c>
    </row>
    <row r="63" spans="1:4" s="4" customFormat="1" ht="13.8" outlineLevel="1">
      <c r="A63" s="4" t="s">
        <v>115</v>
      </c>
      <c r="B63" s="4" t="s">
        <v>116</v>
      </c>
      <c r="C63" s="4">
        <f>C64*C11%</f>
        <v>11273.272300394541</v>
      </c>
      <c r="D63" s="4" t="s">
        <v>32</v>
      </c>
    </row>
    <row r="64" spans="1:4" s="4" customFormat="1" ht="13.8" outlineLevel="1">
      <c r="A64" s="4" t="s">
        <v>31</v>
      </c>
      <c r="B64" s="4" t="s">
        <v>116</v>
      </c>
      <c r="C64" s="4">
        <f>C59*C2</f>
        <v>11273.272300394541</v>
      </c>
    </row>
    <row r="65" spans="1:4" s="4" customFormat="1" ht="13.8" outlineLevel="1"/>
    <row r="66" spans="1:4" s="4" customFormat="1" ht="13.8" outlineLevel="1">
      <c r="A66" s="4" t="s">
        <v>117</v>
      </c>
      <c r="B66" s="4" t="s">
        <v>3</v>
      </c>
      <c r="C66" s="4">
        <f>C13%*(C9-C7)+C7</f>
        <v>5</v>
      </c>
      <c r="D66" s="4" t="s">
        <v>0</v>
      </c>
    </row>
    <row r="67" spans="1:4" s="4" customFormat="1" ht="13.8" outlineLevel="1"/>
    <row r="68" spans="1:4" s="4" customFormat="1" ht="13.8" outlineLevel="1">
      <c r="A68" s="4" t="s">
        <v>33</v>
      </c>
      <c r="B68" s="4" t="s">
        <v>34</v>
      </c>
      <c r="C68" s="4">
        <f>(611.2*EXP((17.62*C7)/(243.12+C7)) / 100000)*1000</f>
        <v>2.4483262381675517</v>
      </c>
      <c r="D68" s="4" t="s">
        <v>35</v>
      </c>
    </row>
    <row r="69" spans="1:4" s="4" customFormat="1" ht="13.8" outlineLevel="1">
      <c r="A69" s="4" t="s">
        <v>118</v>
      </c>
      <c r="B69" s="4" t="s">
        <v>34</v>
      </c>
      <c r="C69" s="4">
        <f>(611.2*EXP((17.62*C66)/(243.12+C66)) / 100000)*1000</f>
        <v>8.7174274676879371</v>
      </c>
      <c r="D69" s="4" t="s">
        <v>35</v>
      </c>
    </row>
    <row r="70" spans="1:4" s="4" customFormat="1" ht="13.8" outlineLevel="1">
      <c r="A70" s="4" t="s">
        <v>33</v>
      </c>
      <c r="B70" s="4" t="s">
        <v>36</v>
      </c>
      <c r="C70" s="4">
        <f>(611.2*EXP((17.62*C9)/(243.12+C9)) / 100000)*1000</f>
        <v>26.37415116417176</v>
      </c>
      <c r="D70" s="4" t="s">
        <v>35</v>
      </c>
    </row>
    <row r="71" spans="1:4" s="4" customFormat="1" ht="13.8" outlineLevel="1"/>
    <row r="72" spans="1:4" s="4" customFormat="1" ht="13.8" outlineLevel="1">
      <c r="A72" s="4" t="s">
        <v>37</v>
      </c>
      <c r="B72" s="4" t="s">
        <v>14</v>
      </c>
      <c r="C72" s="4">
        <f>(0.622*(C8/100)*C68)/(C53-((C8/100)*C68))</f>
        <v>1.4390511605072078E-3</v>
      </c>
      <c r="D72" s="4" t="s">
        <v>38</v>
      </c>
    </row>
    <row r="73" spans="1:4" s="4" customFormat="1" ht="13.8" outlineLevel="1">
      <c r="A73" s="4" t="s">
        <v>119</v>
      </c>
      <c r="B73" s="4" t="s">
        <v>14</v>
      </c>
      <c r="C73" s="4">
        <f>C72+(C74-C72)*C12%</f>
        <v>1.4390511605072078E-3</v>
      </c>
      <c r="D73" s="4" t="s">
        <v>38</v>
      </c>
    </row>
    <row r="74" spans="1:4" s="4" customFormat="1" ht="13.8" outlineLevel="1">
      <c r="A74" s="4" t="s">
        <v>37</v>
      </c>
      <c r="B74" s="4" t="s">
        <v>16</v>
      </c>
      <c r="C74" s="4">
        <f>(0.622*(C10/100)*C70)/(C53-((C10/100)*C70))</f>
        <v>8.7126541567095987E-3</v>
      </c>
      <c r="D74" s="4" t="s">
        <v>38</v>
      </c>
    </row>
    <row r="75" spans="1:4" s="4" customFormat="1" ht="13.8" outlineLevel="1"/>
    <row r="76" spans="1:4" s="4" customFormat="1" ht="13.8" outlineLevel="1">
      <c r="A76" s="4" t="s">
        <v>39</v>
      </c>
      <c r="B76" s="4" t="s">
        <v>40</v>
      </c>
      <c r="C76" s="4">
        <f>1.005*C66+C73*(2501.6+(1.93*C66))</f>
        <v>8.6388172268237255</v>
      </c>
      <c r="D76" s="4" t="s">
        <v>41</v>
      </c>
    </row>
    <row r="77" spans="1:4" s="4" customFormat="1" ht="13.8" outlineLevel="1">
      <c r="A77" s="4" t="s">
        <v>39</v>
      </c>
      <c r="B77" s="4" t="s">
        <v>42</v>
      </c>
      <c r="C77" s="4">
        <f>1.005*C9+C74*(2501.6+(1.93*C9))</f>
        <v>44.275514933918622</v>
      </c>
      <c r="D77" s="4" t="s">
        <v>41</v>
      </c>
    </row>
    <row r="78" spans="1:4" s="4" customFormat="1" ht="13.8" outlineLevel="1">
      <c r="A78" s="4" t="s">
        <v>43</v>
      </c>
      <c r="B78" s="4" t="s">
        <v>44</v>
      </c>
      <c r="C78" s="4">
        <f>1.005*C9+C73*(2501.6+(1.93*C9))</f>
        <v>25.771032495399965</v>
      </c>
      <c r="D78" s="4" t="s">
        <v>41</v>
      </c>
    </row>
    <row r="79" spans="1:4" s="4" customFormat="1" ht="13.8" outlineLevel="1">
      <c r="A79" s="4" t="s">
        <v>45</v>
      </c>
      <c r="B79" s="4" t="s">
        <v>46</v>
      </c>
      <c r="C79" s="4">
        <v>0</v>
      </c>
      <c r="D79" s="4" t="s">
        <v>41</v>
      </c>
    </row>
    <row r="80" spans="1:4" s="4" customFormat="1" ht="13.8" outlineLevel="1"/>
    <row r="81" spans="1:4" s="4" customFormat="1" ht="13.8" outlineLevel="1">
      <c r="A81" s="4" t="s">
        <v>120</v>
      </c>
      <c r="B81" s="4" t="s">
        <v>21</v>
      </c>
      <c r="C81" s="4">
        <f>C63*(C78+C79-C76)*0.28/1000</f>
        <v>54.078115792858341</v>
      </c>
      <c r="D81" s="4" t="s">
        <v>20</v>
      </c>
    </row>
    <row r="82" spans="1:4" s="4" customFormat="1" ht="13.8" outlineLevel="1">
      <c r="A82" s="4" t="s">
        <v>19</v>
      </c>
      <c r="B82" s="4" t="s">
        <v>97</v>
      </c>
      <c r="C82" s="4">
        <f>((C77+C79-C78)*C63*0.28/1000)</f>
        <v>58.409699406041092</v>
      </c>
      <c r="D82" s="4" t="s">
        <v>20</v>
      </c>
    </row>
    <row r="83" spans="1:4" s="4" customFormat="1" ht="13.8" outlineLevel="1">
      <c r="A83" s="4" t="s">
        <v>121</v>
      </c>
      <c r="B83" s="4" t="s">
        <v>98</v>
      </c>
      <c r="C83" s="4">
        <f>C81+C82</f>
        <v>112.48781519889943</v>
      </c>
      <c r="D83" s="4" t="s">
        <v>20</v>
      </c>
    </row>
    <row r="84" spans="1:4" s="4" customFormat="1" outlineLevel="1" thickBot="1">
      <c r="A84" s="4" t="s">
        <v>122</v>
      </c>
      <c r="B84" s="4" t="s">
        <v>99</v>
      </c>
      <c r="C84" s="4">
        <f>((C77+C79)-((C73*2501.6))/(1.005+(C73*1.93)))</f>
        <v>40.703366466617233</v>
      </c>
      <c r="D84" s="4" t="s">
        <v>0</v>
      </c>
    </row>
    <row r="85" spans="1:4" s="4" customFormat="1" outlineLevel="1" thickBot="1">
      <c r="A85" s="77" t="s">
        <v>123</v>
      </c>
      <c r="B85" s="57"/>
      <c r="C85" s="112">
        <f>C63*(C74-C73)</f>
        <v>81.997307181155151</v>
      </c>
      <c r="D85" s="59" t="s">
        <v>22</v>
      </c>
    </row>
    <row r="86" spans="1:4" s="4" customFormat="1" ht="13.8" outlineLevel="1"/>
    <row r="87" spans="1:4" s="4" customFormat="1" ht="13.8" outlineLevel="1"/>
    <row r="113" spans="1:3" s="1" customFormat="1" ht="13.8">
      <c r="A113" s="9" t="s">
        <v>47</v>
      </c>
      <c r="B113" s="10"/>
      <c r="C113" s="11"/>
    </row>
    <row r="114" spans="1:3" s="1" customFormat="1" ht="13.8">
      <c r="A114" s="12" t="s">
        <v>48</v>
      </c>
      <c r="B114" s="13">
        <v>1</v>
      </c>
      <c r="C114" s="11"/>
    </row>
    <row r="115" spans="1:3" s="1" customFormat="1">
      <c r="A115" s="9" t="s">
        <v>49</v>
      </c>
      <c r="B115" s="14">
        <v>0.1</v>
      </c>
      <c r="C115" s="8"/>
    </row>
    <row r="116" spans="1:3" s="1" customFormat="1">
      <c r="A116" s="9" t="s">
        <v>50</v>
      </c>
      <c r="B116" s="14">
        <v>0.5</v>
      </c>
      <c r="C116" s="8"/>
    </row>
    <row r="117" spans="1:3" s="1" customFormat="1">
      <c r="A117" s="9" t="s">
        <v>51</v>
      </c>
      <c r="B117" s="14">
        <v>0.1</v>
      </c>
      <c r="C117" s="8"/>
    </row>
    <row r="118" spans="1:3" s="1" customFormat="1">
      <c r="A118" s="9" t="s">
        <v>52</v>
      </c>
      <c r="B118" s="14">
        <v>0</v>
      </c>
      <c r="C118" s="8"/>
    </row>
    <row r="119" spans="1:3" s="1" customFormat="1" ht="13.8">
      <c r="A119" s="9" t="s">
        <v>53</v>
      </c>
      <c r="B119" s="15">
        <v>0.2</v>
      </c>
      <c r="C119" s="11"/>
    </row>
    <row r="120" spans="1:3" s="1" customFormat="1" ht="13.8">
      <c r="A120" s="9" t="s">
        <v>54</v>
      </c>
      <c r="B120" s="15">
        <v>1.8</v>
      </c>
      <c r="C120" s="11"/>
    </row>
    <row r="121" spans="1:3" s="1" customFormat="1" ht="13.8">
      <c r="A121" s="9" t="s">
        <v>55</v>
      </c>
      <c r="B121" s="15">
        <v>3.7</v>
      </c>
      <c r="C121" s="11"/>
    </row>
    <row r="122" spans="1:3" s="1" customFormat="1" ht="13.8">
      <c r="A122" s="9" t="s">
        <v>56</v>
      </c>
      <c r="B122" s="15">
        <v>0.3</v>
      </c>
      <c r="C122" s="11"/>
    </row>
    <row r="123" spans="1:3" s="1" customFormat="1" ht="13.8">
      <c r="A123" s="9" t="s">
        <v>57</v>
      </c>
      <c r="B123" s="15">
        <v>20</v>
      </c>
      <c r="C123" s="11"/>
    </row>
    <row r="124" spans="1:3" s="1" customFormat="1" ht="13.8">
      <c r="A124" s="9" t="s">
        <v>58</v>
      </c>
      <c r="B124" s="15">
        <v>0</v>
      </c>
      <c r="C124" s="11"/>
    </row>
    <row r="125" spans="1:3" s="1" customFormat="1" ht="13.8">
      <c r="A125" s="16"/>
      <c r="B125" s="11"/>
      <c r="C125" s="11"/>
    </row>
    <row r="126" spans="1:3" s="1" customFormat="1" ht="13.8">
      <c r="A126" s="18" t="s">
        <v>59</v>
      </c>
      <c r="B126" s="19"/>
      <c r="C126" s="11"/>
    </row>
    <row r="127" spans="1:3" s="1" customFormat="1" ht="13.8">
      <c r="A127" s="20" t="s">
        <v>60</v>
      </c>
      <c r="B127" s="21" t="e">
        <f>'Do not change this Data'!#REF!</f>
        <v>#REF!</v>
      </c>
      <c r="C127" s="11"/>
    </row>
    <row r="128" spans="1:3" s="1" customFormat="1" ht="13.8">
      <c r="A128" s="20" t="s">
        <v>61</v>
      </c>
      <c r="B128" s="21" t="e">
        <f>+B127*B133*B114</f>
        <v>#REF!</v>
      </c>
      <c r="C128" s="11"/>
    </row>
    <row r="129" spans="1:3" s="1" customFormat="1" ht="26.4">
      <c r="A129" s="22" t="s">
        <v>62</v>
      </c>
      <c r="B129" s="21" t="e">
        <f>2.2*B127/1000</f>
        <v>#REF!</v>
      </c>
      <c r="C129" s="11"/>
    </row>
    <row r="130" spans="1:3" s="1" customFormat="1" ht="13.8">
      <c r="A130" s="20" t="s">
        <v>63</v>
      </c>
      <c r="B130" s="21" t="e">
        <f>+B129*B133</f>
        <v>#REF!</v>
      </c>
      <c r="C130" s="11"/>
    </row>
    <row r="131" spans="1:3" s="1" customFormat="1" ht="13.8">
      <c r="A131" s="20"/>
      <c r="B131" s="21"/>
      <c r="C131" s="11"/>
    </row>
    <row r="132" spans="1:3" s="1" customFormat="1" ht="13.8">
      <c r="A132" s="20"/>
      <c r="B132" s="21"/>
      <c r="C132" s="11"/>
    </row>
    <row r="133" spans="1:3" s="1" customFormat="1" ht="13.8">
      <c r="A133" s="20" t="s">
        <v>64</v>
      </c>
      <c r="B133" s="21" t="e">
        <f>#REF!+#REF!+#REF!+#REF!</f>
        <v>#REF!</v>
      </c>
      <c r="C133" s="11"/>
    </row>
    <row r="134" spans="1:3" s="1" customFormat="1" ht="13.8">
      <c r="A134" s="20" t="s">
        <v>65</v>
      </c>
      <c r="B134" s="21">
        <v>365</v>
      </c>
      <c r="C134" s="11"/>
    </row>
    <row r="135" spans="1:3" s="1" customFormat="1" ht="13.8">
      <c r="A135" s="20" t="s">
        <v>66</v>
      </c>
      <c r="B135" s="21">
        <f>+B134*24</f>
        <v>8760</v>
      </c>
      <c r="C135" s="11"/>
    </row>
    <row r="136" spans="1:3" s="1" customFormat="1" ht="13.8">
      <c r="A136" s="16"/>
      <c r="B136" s="11"/>
      <c r="C136" s="11"/>
    </row>
    <row r="137" spans="1:3" s="1" customFormat="1" ht="13.8">
      <c r="A137" s="16" t="s">
        <v>67</v>
      </c>
      <c r="B137" s="23">
        <v>0</v>
      </c>
      <c r="C137" s="11"/>
    </row>
    <row r="138" spans="1:3" s="1" customFormat="1" thickBot="1">
      <c r="A138" s="24" t="s">
        <v>68</v>
      </c>
      <c r="B138" s="25">
        <f>SUM(B137*B119)</f>
        <v>0</v>
      </c>
      <c r="C138" s="11"/>
    </row>
    <row r="139" spans="1:3" s="1" customFormat="1" thickTop="1">
      <c r="A139" s="16"/>
      <c r="B139" s="23"/>
      <c r="C139" s="11"/>
    </row>
    <row r="140" spans="1:3" s="1" customFormat="1" ht="13.8">
      <c r="A140" s="16" t="s">
        <v>69</v>
      </c>
      <c r="B140" s="23">
        <v>0</v>
      </c>
      <c r="C140" s="11"/>
    </row>
    <row r="141" spans="1:3" s="1" customFormat="1" thickBot="1">
      <c r="A141" s="24" t="s">
        <v>70</v>
      </c>
      <c r="B141" s="25">
        <f>SUM(B140*B119)</f>
        <v>0</v>
      </c>
      <c r="C141" s="11"/>
    </row>
    <row r="142" spans="1:3" s="1" customFormat="1" thickTop="1">
      <c r="A142" s="16"/>
      <c r="B142" s="23"/>
      <c r="C142" s="11"/>
    </row>
    <row r="143" spans="1:3" s="1" customFormat="1" ht="13.8">
      <c r="A143" s="16" t="s">
        <v>71</v>
      </c>
      <c r="B143" s="23" t="e">
        <f>+#REF!+#REF!+#REF!+#REF!</f>
        <v>#REF!</v>
      </c>
      <c r="C143" s="11"/>
    </row>
    <row r="144" spans="1:3" s="1" customFormat="1" thickBot="1">
      <c r="A144" s="24" t="s">
        <v>72</v>
      </c>
      <c r="B144" s="25" t="e">
        <f>+B143*B119</f>
        <v>#REF!</v>
      </c>
      <c r="C144" s="11"/>
    </row>
    <row r="145" spans="1:3" s="1" customFormat="1" thickTop="1">
      <c r="A145" s="16"/>
      <c r="B145" s="23"/>
      <c r="C145" s="11"/>
    </row>
    <row r="146" spans="1:3" s="1" customFormat="1" ht="13.8">
      <c r="A146" s="16" t="s">
        <v>73</v>
      </c>
      <c r="B146" s="23">
        <f>B132</f>
        <v>0</v>
      </c>
      <c r="C146" s="11"/>
    </row>
    <row r="147" spans="1:3" s="1" customFormat="1" thickBot="1">
      <c r="A147" s="24" t="s">
        <v>74</v>
      </c>
      <c r="B147" s="25">
        <f>+B146*B119</f>
        <v>0</v>
      </c>
      <c r="C147" s="11"/>
    </row>
    <row r="148" spans="1:3" s="1" customFormat="1" thickTop="1">
      <c r="A148" s="16"/>
      <c r="B148" s="23"/>
      <c r="C148" s="11"/>
    </row>
    <row r="149" spans="1:3" s="1" customFormat="1" ht="13.8">
      <c r="A149" s="16" t="s">
        <v>75</v>
      </c>
      <c r="B149" s="23" t="e">
        <f>+#REF!+#REF!+#REF!+#REF!</f>
        <v>#REF!</v>
      </c>
      <c r="C149" s="11"/>
    </row>
    <row r="150" spans="1:3" s="1" customFormat="1" ht="13.8">
      <c r="A150" s="16" t="s">
        <v>76</v>
      </c>
      <c r="B150" s="23"/>
      <c r="C150" s="11"/>
    </row>
    <row r="151" spans="1:3" s="1" customFormat="1" ht="13.8">
      <c r="A151" s="26" t="s">
        <v>77</v>
      </c>
      <c r="B151" s="23">
        <v>0</v>
      </c>
      <c r="C151" s="11"/>
    </row>
    <row r="152" spans="1:3" s="1" customFormat="1" ht="13.8">
      <c r="A152" s="16" t="s">
        <v>78</v>
      </c>
      <c r="B152" s="23"/>
      <c r="C152" s="11"/>
    </row>
    <row r="153" spans="1:3" s="1" customFormat="1" ht="13.8">
      <c r="A153" s="26" t="s">
        <v>79</v>
      </c>
      <c r="B153" s="23">
        <v>0</v>
      </c>
      <c r="C153" s="11"/>
    </row>
    <row r="154" spans="1:3" s="1" customFormat="1" thickBot="1">
      <c r="A154" s="24" t="s">
        <v>80</v>
      </c>
      <c r="B154" s="25" t="e">
        <f>B149*B120+B151*B121+B153*B121</f>
        <v>#REF!</v>
      </c>
      <c r="C154" s="11"/>
    </row>
    <row r="155" spans="1:3" s="1" customFormat="1" thickTop="1">
      <c r="A155" s="16"/>
      <c r="B155" s="23"/>
      <c r="C155" s="11"/>
    </row>
    <row r="156" spans="1:3" s="1" customFormat="1" ht="13.8">
      <c r="A156" s="16" t="s">
        <v>81</v>
      </c>
      <c r="B156" s="23">
        <v>0</v>
      </c>
      <c r="C156" s="11"/>
    </row>
    <row r="157" spans="1:3" s="1" customFormat="1" thickBot="1">
      <c r="A157" s="24" t="s">
        <v>82</v>
      </c>
      <c r="B157" s="25">
        <f>SUM(B156*B122)</f>
        <v>0</v>
      </c>
      <c r="C157" s="11"/>
    </row>
    <row r="158" spans="1:3" s="1" customFormat="1" thickTop="1">
      <c r="A158" s="16"/>
      <c r="B158" s="23"/>
      <c r="C158" s="11"/>
    </row>
    <row r="159" spans="1:3" s="1" customFormat="1" ht="13.8">
      <c r="A159" s="17"/>
      <c r="B159" s="27"/>
      <c r="C159" s="11"/>
    </row>
    <row r="160" spans="1:3" s="1" customFormat="1" ht="13.8">
      <c r="A160" s="16"/>
      <c r="B160" s="23"/>
      <c r="C160" s="11"/>
    </row>
    <row r="161" spans="1:3" s="1" customFormat="1" ht="16.2" thickBot="1">
      <c r="A161" s="28" t="s">
        <v>80</v>
      </c>
      <c r="B161" s="29" t="e">
        <f>B154</f>
        <v>#REF!</v>
      </c>
      <c r="C161" s="11"/>
    </row>
    <row r="162" spans="1:3" s="1" customFormat="1" ht="16.2" thickTop="1">
      <c r="A162" s="30"/>
      <c r="B162" s="31"/>
      <c r="C162" s="11"/>
    </row>
    <row r="163" spans="1:3" s="1" customFormat="1" ht="16.2" thickBot="1">
      <c r="A163" s="28" t="s">
        <v>83</v>
      </c>
      <c r="B163" s="29" t="e">
        <f>SUM(B138+B141+B144+B147)</f>
        <v>#REF!</v>
      </c>
      <c r="C163" s="11"/>
    </row>
    <row r="164" spans="1:3" s="1" customFormat="1" thickTop="1">
      <c r="A164" s="16"/>
      <c r="B164" s="11"/>
      <c r="C164" s="11"/>
    </row>
    <row r="165" spans="1:3" s="1" customFormat="1" ht="15.6">
      <c r="A165" s="32" t="s">
        <v>84</v>
      </c>
      <c r="B165" s="33" t="e">
        <f>B157+B161+B163</f>
        <v>#REF!</v>
      </c>
      <c r="C165" s="34"/>
    </row>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Berechnung</vt:lpstr>
      <vt:lpstr>Do not change this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HUMER</dc:creator>
  <cp:lastModifiedBy>Thomas Weinberger</cp:lastModifiedBy>
  <cp:lastPrinted>2024-05-27T07:10:33Z</cp:lastPrinted>
  <dcterms:created xsi:type="dcterms:W3CDTF">2017-09-13T12:43:08Z</dcterms:created>
  <dcterms:modified xsi:type="dcterms:W3CDTF">2024-11-18T06:55:10Z</dcterms:modified>
</cp:coreProperties>
</file>