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0"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https://d.docs.live.net/bc7a86d9671e19ef/Desktop/"/>
    </mc:Choice>
  </mc:AlternateContent>
  <xr:revisionPtr revIDLastSave="0" documentId="13_ncr:1_{BE4466A8-1031-4EC2-B17E-B96129A9A4F8}" xr6:coauthVersionLast="47" xr6:coauthVersionMax="47" xr10:uidLastSave="{00000000-0000-0000-0000-000000000000}"/>
  <workbookProtection workbookAlgorithmName="SHA-512" workbookHashValue="dweChFhcgQkRdRmuyiXC3JpE0DgtbMEQ7wgYLJEGkfCgN4zLS9YveWDJKlwafqQv9kT32QUCc2PkGg2RM2xF+w==" workbookSaltValue="2RBFNiLjfN7dDZ/KxuKjBA==" workbookSpinCount="100000" lockStructure="1"/>
  <bookViews>
    <workbookView xWindow="-108" yWindow="-108" windowWidth="23256" windowHeight="12456" xr2:uid="{00000000-000D-0000-FFFF-FFFF00000000}"/>
  </bookViews>
  <sheets>
    <sheet name="Immobilie als Kapitalanlage" sheetId="2" r:id="rId1"/>
    <sheet name="Parameter" sheetId="1" state="hidden" r:id="rId2"/>
    <sheet name="Überblick" sheetId="3" state="hidden" r:id="rId3"/>
    <sheet name="CF-Berechnung" sheetId="4" state="hidden" r:id="rId4"/>
    <sheet name="Rendite" sheetId="5" state="hidden" r:id="rId5"/>
    <sheet name="Steuern" sheetId="9" state="hidden" r:id="rId6"/>
    <sheet name="Cashflow Details" sheetId="6" state="hidden" r:id="rId7"/>
    <sheet name="Tabelle 1" sheetId="7" state="hidden" r:id="rId8"/>
    <sheet name="Tabelle 2" sheetId="8" state="hidden" r:id="rId9"/>
  </sheets>
  <definedNames>
    <definedName name="kaufpreis_wohnung">'Immobilie als Kapitalanlage'!$C$13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3" roundtripDataChecksum="w8wy/3za1iD4jG5umAeFChR+u54CjF3xp7um1jEtsVQ="/>
    </ext>
  </extLst>
</workbook>
</file>

<file path=xl/calcChain.xml><?xml version="1.0" encoding="utf-8"?>
<calcChain xmlns="http://schemas.openxmlformats.org/spreadsheetml/2006/main">
  <c r="D22" i="2" l="1"/>
  <c r="C28" i="2"/>
  <c r="C30" i="2"/>
  <c r="U49" i="6" s="1"/>
  <c r="C29" i="2"/>
  <c r="T51" i="6" s="1"/>
  <c r="C27" i="2"/>
  <c r="E12" i="4"/>
  <c r="D18" i="2"/>
  <c r="E11" i="4" s="1"/>
  <c r="C33" i="2"/>
  <c r="D33" i="2" s="1"/>
  <c r="D10" i="2"/>
  <c r="I42" i="2" s="1"/>
  <c r="C5" i="2"/>
  <c r="D82" i="2" s="1"/>
  <c r="F55" i="2" s="1"/>
  <c r="H48" i="2"/>
  <c r="G96" i="2"/>
  <c r="C13" i="2"/>
  <c r="B4" i="6" s="1"/>
  <c r="H25" i="7"/>
  <c r="F25" i="7"/>
  <c r="D25" i="7"/>
  <c r="I24" i="7"/>
  <c r="H15" i="7"/>
  <c r="F15" i="7"/>
  <c r="D15" i="7"/>
  <c r="I14" i="7"/>
  <c r="G14" i="7"/>
  <c r="E14" i="7"/>
  <c r="I13" i="7"/>
  <c r="G13" i="7"/>
  <c r="E13" i="7"/>
  <c r="C12" i="7"/>
  <c r="E12" i="7" s="1"/>
  <c r="C11" i="7"/>
  <c r="E11" i="7" s="1"/>
  <c r="I10" i="7"/>
  <c r="G10" i="7"/>
  <c r="E10" i="7"/>
  <c r="B7" i="7"/>
  <c r="B4" i="7"/>
  <c r="B6" i="7" s="1"/>
  <c r="C6" i="7" s="1"/>
  <c r="A73" i="6"/>
  <c r="A72" i="6"/>
  <c r="AT68" i="6"/>
  <c r="AB68" i="6"/>
  <c r="AC68" i="6" s="1"/>
  <c r="T52" i="6"/>
  <c r="DS46" i="6"/>
  <c r="DS45" i="6"/>
  <c r="T45" i="6"/>
  <c r="U44" i="6"/>
  <c r="T39" i="6"/>
  <c r="T38" i="6"/>
  <c r="T36" i="6"/>
  <c r="U35" i="6"/>
  <c r="T35" i="6"/>
  <c r="U31" i="6"/>
  <c r="T30" i="6"/>
  <c r="T29" i="6"/>
  <c r="T27" i="6"/>
  <c r="T26" i="6"/>
  <c r="T24" i="6"/>
  <c r="T21" i="6"/>
  <c r="T20" i="6"/>
  <c r="T17" i="6"/>
  <c r="U16" i="6"/>
  <c r="T16" i="6"/>
  <c r="U14" i="6"/>
  <c r="D22" i="4" s="1"/>
  <c r="T13" i="6"/>
  <c r="T12" i="6"/>
  <c r="U11" i="6"/>
  <c r="T9" i="6"/>
  <c r="T8" i="6"/>
  <c r="CI5" i="6"/>
  <c r="CI4" i="6" s="1"/>
  <c r="AB5" i="6"/>
  <c r="AB28" i="6" s="1"/>
  <c r="T5" i="6"/>
  <c r="O4" i="6"/>
  <c r="L4" i="6"/>
  <c r="P4" i="6" s="1"/>
  <c r="K4" i="6"/>
  <c r="E4" i="6"/>
  <c r="C4" i="6"/>
  <c r="C6" i="6" s="1"/>
  <c r="DS3" i="6"/>
  <c r="E39" i="5"/>
  <c r="E51" i="5" s="1"/>
  <c r="E63" i="5" s="1"/>
  <c r="E32" i="5"/>
  <c r="E44" i="5" s="1"/>
  <c r="E31" i="5"/>
  <c r="E43" i="5" s="1"/>
  <c r="E55" i="5" s="1"/>
  <c r="E27" i="5"/>
  <c r="E26" i="5"/>
  <c r="E38" i="5" s="1"/>
  <c r="E25" i="5"/>
  <c r="E37" i="5" s="1"/>
  <c r="E24" i="5"/>
  <c r="E36" i="5" s="1"/>
  <c r="E23" i="5"/>
  <c r="E35" i="5" s="1"/>
  <c r="E22" i="5"/>
  <c r="E34" i="5" s="1"/>
  <c r="E21" i="5"/>
  <c r="E33" i="5" s="1"/>
  <c r="E20" i="5"/>
  <c r="E19" i="5"/>
  <c r="E18" i="5"/>
  <c r="E30" i="5" s="1"/>
  <c r="E17" i="5"/>
  <c r="E29" i="5" s="1"/>
  <c r="E16" i="5"/>
  <c r="E28" i="5" s="1"/>
  <c r="F4" i="5"/>
  <c r="I4" i="5" s="1"/>
  <c r="L4" i="5" s="1"/>
  <c r="O4" i="5" s="1"/>
  <c r="C3" i="5"/>
  <c r="C31" i="4"/>
  <c r="E10" i="4"/>
  <c r="D8" i="4"/>
  <c r="D7" i="4"/>
  <c r="I4" i="4"/>
  <c r="G4" i="4"/>
  <c r="D4" i="4"/>
  <c r="D3" i="4"/>
  <c r="S20" i="3"/>
  <c r="R20" i="3"/>
  <c r="Q20" i="3"/>
  <c r="P20" i="3"/>
  <c r="O20" i="3"/>
  <c r="A20" i="3"/>
  <c r="S19" i="3"/>
  <c r="R19" i="3"/>
  <c r="Q19" i="3"/>
  <c r="P19" i="3"/>
  <c r="O19" i="3"/>
  <c r="A19" i="3"/>
  <c r="S18" i="3"/>
  <c r="R18" i="3"/>
  <c r="Q18" i="3"/>
  <c r="P18" i="3"/>
  <c r="O18" i="3"/>
  <c r="A18" i="3"/>
  <c r="S17" i="3"/>
  <c r="R17" i="3"/>
  <c r="Q17" i="3"/>
  <c r="P17" i="3"/>
  <c r="O17" i="3"/>
  <c r="A17" i="3"/>
  <c r="S16" i="3"/>
  <c r="R16" i="3"/>
  <c r="Q16" i="3"/>
  <c r="P16" i="3"/>
  <c r="O16" i="3"/>
  <c r="A16" i="3"/>
  <c r="S15" i="3"/>
  <c r="R15" i="3"/>
  <c r="Q15" i="3"/>
  <c r="P15" i="3"/>
  <c r="O15" i="3"/>
  <c r="A15" i="3"/>
  <c r="S14" i="3"/>
  <c r="R14" i="3"/>
  <c r="Q14" i="3"/>
  <c r="P14" i="3"/>
  <c r="O14" i="3"/>
  <c r="A14" i="3"/>
  <c r="S13" i="3"/>
  <c r="R13" i="3"/>
  <c r="Q13" i="3"/>
  <c r="P13" i="3"/>
  <c r="O13" i="3"/>
  <c r="A13" i="3"/>
  <c r="S12" i="3"/>
  <c r="R12" i="3"/>
  <c r="Q12" i="3"/>
  <c r="P12" i="3"/>
  <c r="O12" i="3"/>
  <c r="A12" i="3"/>
  <c r="S11" i="3"/>
  <c r="R11" i="3"/>
  <c r="Q11" i="3"/>
  <c r="P11" i="3"/>
  <c r="O11" i="3"/>
  <c r="A11" i="3"/>
  <c r="S10" i="3"/>
  <c r="R10" i="3"/>
  <c r="Q10" i="3"/>
  <c r="P10" i="3"/>
  <c r="O10" i="3"/>
  <c r="A10" i="3"/>
  <c r="S9" i="3"/>
  <c r="R9" i="3"/>
  <c r="Q9" i="3"/>
  <c r="P9" i="3"/>
  <c r="O9" i="3"/>
  <c r="A9" i="3"/>
  <c r="S8" i="3"/>
  <c r="R8" i="3"/>
  <c r="Q8" i="3"/>
  <c r="P8" i="3"/>
  <c r="O8" i="3"/>
  <c r="A8" i="3"/>
  <c r="S7" i="3"/>
  <c r="R7" i="3"/>
  <c r="Q7" i="3"/>
  <c r="P7" i="3"/>
  <c r="O7" i="3"/>
  <c r="A7" i="3"/>
  <c r="S6" i="3"/>
  <c r="R6" i="3"/>
  <c r="Q6" i="3"/>
  <c r="P6" i="3"/>
  <c r="O6" i="3"/>
  <c r="A6" i="3"/>
  <c r="S5" i="3"/>
  <c r="R5" i="3"/>
  <c r="Q5" i="3"/>
  <c r="P5" i="3"/>
  <c r="O5" i="3"/>
  <c r="A5" i="3"/>
  <c r="S4" i="3"/>
  <c r="R4" i="3"/>
  <c r="Q4" i="3"/>
  <c r="P4" i="3"/>
  <c r="O4" i="3"/>
  <c r="A4" i="3"/>
  <c r="S3" i="3"/>
  <c r="R3" i="3"/>
  <c r="Q3" i="3"/>
  <c r="P3" i="3"/>
  <c r="O3" i="3"/>
  <c r="A3" i="3"/>
  <c r="C86" i="2"/>
  <c r="C85" i="2"/>
  <c r="U51" i="6" l="1"/>
  <c r="U7" i="6"/>
  <c r="U12" i="6"/>
  <c r="U17" i="6"/>
  <c r="U23" i="6"/>
  <c r="U29" i="6"/>
  <c r="U37" i="6"/>
  <c r="U45" i="6"/>
  <c r="U52" i="6"/>
  <c r="U21" i="6"/>
  <c r="U27" i="6"/>
  <c r="U6" i="6"/>
  <c r="U22" i="6"/>
  <c r="U18" i="6"/>
  <c r="U8" i="6"/>
  <c r="U13" i="6"/>
  <c r="U19" i="6"/>
  <c r="U25" i="6"/>
  <c r="U30" i="6"/>
  <c r="U38" i="6"/>
  <c r="U46" i="6"/>
  <c r="U5" i="6"/>
  <c r="U9" i="6"/>
  <c r="U15" i="6"/>
  <c r="U20" i="6"/>
  <c r="U26" i="6"/>
  <c r="U33" i="6"/>
  <c r="U41" i="6"/>
  <c r="U48" i="6"/>
  <c r="U10" i="6"/>
  <c r="U42" i="6"/>
  <c r="U50" i="6"/>
  <c r="T40" i="6"/>
  <c r="U54" i="6"/>
  <c r="U34" i="6"/>
  <c r="T53" i="6"/>
  <c r="T44" i="6"/>
  <c r="T6" i="6"/>
  <c r="T10" i="6"/>
  <c r="T14" i="6"/>
  <c r="D21" i="4" s="1"/>
  <c r="T18" i="6"/>
  <c r="T22" i="6"/>
  <c r="T31" i="6"/>
  <c r="T41" i="6"/>
  <c r="T7" i="6"/>
  <c r="T11" i="6"/>
  <c r="T15" i="6"/>
  <c r="T19" i="6"/>
  <c r="T23" i="6"/>
  <c r="T32" i="6"/>
  <c r="T37" i="6"/>
  <c r="T28" i="6"/>
  <c r="T33" i="6"/>
  <c r="T43" i="6"/>
  <c r="T47" i="6"/>
  <c r="T25" i="6"/>
  <c r="T34" i="6"/>
  <c r="U43" i="6"/>
  <c r="U39" i="6"/>
  <c r="U47" i="6"/>
  <c r="U53" i="6"/>
  <c r="U24" i="6"/>
  <c r="U28" i="6"/>
  <c r="U32" i="6"/>
  <c r="U36" i="6"/>
  <c r="U40" i="6"/>
  <c r="T48" i="6"/>
  <c r="T54" i="6"/>
  <c r="T42" i="6"/>
  <c r="T49" i="6"/>
  <c r="T50" i="6"/>
  <c r="T46" i="6"/>
  <c r="W5" i="6"/>
  <c r="W6" i="6" s="1"/>
  <c r="H43" i="2"/>
  <c r="H42" i="2" s="1"/>
  <c r="I22" i="4" s="1"/>
  <c r="J42" i="2"/>
  <c r="D9" i="2"/>
  <c r="D6" i="4"/>
  <c r="J4" i="4" s="1"/>
  <c r="C16" i="2"/>
  <c r="C19" i="2" s="1"/>
  <c r="D12" i="4" s="1"/>
  <c r="A68" i="6"/>
  <c r="E68" i="6" s="1"/>
  <c r="D20" i="2"/>
  <c r="E13" i="4" s="1"/>
  <c r="AB10" i="6"/>
  <c r="AD10" i="6" s="1"/>
  <c r="AD5" i="6"/>
  <c r="AB8" i="6"/>
  <c r="AC8" i="6" s="1"/>
  <c r="C4" i="7"/>
  <c r="B5" i="7"/>
  <c r="C5" i="7" s="1"/>
  <c r="AB6" i="6"/>
  <c r="AD6" i="6" s="1"/>
  <c r="AB15" i="6"/>
  <c r="AD15" i="6" s="1"/>
  <c r="AB12" i="6"/>
  <c r="AD12" i="6" s="1"/>
  <c r="F3" i="5"/>
  <c r="I3" i="5" s="1"/>
  <c r="L3" i="5" s="1"/>
  <c r="O3" i="5" s="1"/>
  <c r="E50" i="5"/>
  <c r="E42" i="5"/>
  <c r="E45" i="5"/>
  <c r="E46" i="5"/>
  <c r="E47" i="5"/>
  <c r="E40" i="5"/>
  <c r="E48" i="5"/>
  <c r="E41" i="5"/>
  <c r="E49" i="5"/>
  <c r="E67" i="5"/>
  <c r="E75" i="5"/>
  <c r="F5" i="5"/>
  <c r="E56" i="5"/>
  <c r="D2" i="4"/>
  <c r="C7" i="4"/>
  <c r="S51" i="6"/>
  <c r="R51" i="6" s="1"/>
  <c r="S49" i="6"/>
  <c r="S54" i="6"/>
  <c r="S52" i="6"/>
  <c r="R52" i="6" s="1"/>
  <c r="S50" i="6"/>
  <c r="S53" i="6"/>
  <c r="S46" i="6"/>
  <c r="S48" i="6"/>
  <c r="S42" i="6"/>
  <c r="S41" i="6"/>
  <c r="S40" i="6"/>
  <c r="S47" i="6"/>
  <c r="S44" i="6"/>
  <c r="R44" i="6" s="1"/>
  <c r="S45" i="6"/>
  <c r="R45" i="6" s="1"/>
  <c r="S36" i="6"/>
  <c r="S35" i="6"/>
  <c r="R35" i="6" s="1"/>
  <c r="S39" i="6"/>
  <c r="S37" i="6"/>
  <c r="R37" i="6" s="1"/>
  <c r="S33" i="6"/>
  <c r="S38" i="6"/>
  <c r="R38" i="6" s="1"/>
  <c r="S32" i="6"/>
  <c r="S34" i="6"/>
  <c r="S28" i="6"/>
  <c r="S26" i="6"/>
  <c r="R26" i="6" s="1"/>
  <c r="S30" i="6"/>
  <c r="R30" i="6" s="1"/>
  <c r="S43" i="6"/>
  <c r="S31" i="6"/>
  <c r="S29" i="6"/>
  <c r="S24" i="6"/>
  <c r="S22" i="6"/>
  <c r="S20" i="6"/>
  <c r="R20" i="6" s="1"/>
  <c r="S18" i="6"/>
  <c r="R18" i="6" s="1"/>
  <c r="S15" i="6"/>
  <c r="S11" i="6"/>
  <c r="S19" i="6"/>
  <c r="S17" i="6"/>
  <c r="R17" i="6" s="1"/>
  <c r="S16" i="6"/>
  <c r="R16" i="6" s="1"/>
  <c r="S25" i="6"/>
  <c r="S23" i="6"/>
  <c r="S21" i="6"/>
  <c r="R21" i="6" s="1"/>
  <c r="S14" i="6"/>
  <c r="S10" i="6"/>
  <c r="S7" i="6"/>
  <c r="S13" i="6"/>
  <c r="S8" i="6"/>
  <c r="R8" i="6" s="1"/>
  <c r="S9" i="6"/>
  <c r="R9" i="6" s="1"/>
  <c r="S5" i="6"/>
  <c r="S27" i="6"/>
  <c r="R27" i="6" s="1"/>
  <c r="S12" i="6"/>
  <c r="R12" i="6" s="1"/>
  <c r="V53" i="6"/>
  <c r="V51" i="6"/>
  <c r="V50" i="6"/>
  <c r="V49" i="6"/>
  <c r="V47" i="6"/>
  <c r="V44" i="6"/>
  <c r="V54" i="6"/>
  <c r="V52" i="6"/>
  <c r="V48" i="6"/>
  <c r="V42" i="6"/>
  <c r="V41" i="6"/>
  <c r="V40" i="6"/>
  <c r="V43" i="6"/>
  <c r="V39" i="6"/>
  <c r="V38" i="6"/>
  <c r="V46" i="6"/>
  <c r="V36" i="6"/>
  <c r="V35" i="6"/>
  <c r="V33" i="6"/>
  <c r="V31" i="6"/>
  <c r="V29" i="6"/>
  <c r="V24" i="6"/>
  <c r="V22" i="6"/>
  <c r="V45" i="6"/>
  <c r="V37" i="6"/>
  <c r="V34" i="6"/>
  <c r="V28" i="6"/>
  <c r="V26" i="6"/>
  <c r="V30" i="6"/>
  <c r="V32" i="6"/>
  <c r="V25" i="6"/>
  <c r="V23" i="6"/>
  <c r="V21" i="6"/>
  <c r="V14" i="6"/>
  <c r="V10" i="6"/>
  <c r="V27" i="6"/>
  <c r="V20" i="6"/>
  <c r="V18" i="6"/>
  <c r="V15" i="6"/>
  <c r="V13" i="6"/>
  <c r="V8" i="6"/>
  <c r="V9" i="6"/>
  <c r="V12" i="6"/>
  <c r="V19" i="6"/>
  <c r="V6" i="6"/>
  <c r="V17" i="6"/>
  <c r="V16" i="6"/>
  <c r="V5" i="6"/>
  <c r="V7" i="6"/>
  <c r="V11" i="6"/>
  <c r="S6" i="6"/>
  <c r="AD28" i="6"/>
  <c r="AC28" i="6"/>
  <c r="C10" i="6"/>
  <c r="C12" i="6"/>
  <c r="B5" i="6"/>
  <c r="D4" i="6"/>
  <c r="C54" i="6"/>
  <c r="C50" i="6"/>
  <c r="C47" i="6"/>
  <c r="C53" i="6"/>
  <c r="C51" i="6"/>
  <c r="C48" i="6"/>
  <c r="C52" i="6"/>
  <c r="C49" i="6"/>
  <c r="C44" i="6"/>
  <c r="C43" i="6"/>
  <c r="C45" i="6"/>
  <c r="C46" i="6"/>
  <c r="C42" i="6"/>
  <c r="C37" i="6"/>
  <c r="C40" i="6"/>
  <c r="C41" i="6"/>
  <c r="C39" i="6"/>
  <c r="C36" i="6"/>
  <c r="C33" i="6"/>
  <c r="C31" i="6"/>
  <c r="C35" i="6"/>
  <c r="C38" i="6"/>
  <c r="C32" i="6"/>
  <c r="C30" i="6"/>
  <c r="C29" i="6"/>
  <c r="C24" i="6"/>
  <c r="C22" i="6"/>
  <c r="C26" i="6"/>
  <c r="C28" i="6"/>
  <c r="C34" i="6"/>
  <c r="C25" i="6"/>
  <c r="C23" i="6"/>
  <c r="C21" i="6"/>
  <c r="C19" i="6"/>
  <c r="C17" i="6"/>
  <c r="C16" i="6"/>
  <c r="C13" i="6"/>
  <c r="C27" i="6"/>
  <c r="C7" i="6"/>
  <c r="C20" i="6"/>
  <c r="C18" i="6"/>
  <c r="C14" i="6"/>
  <c r="C8" i="6"/>
  <c r="C11" i="6"/>
  <c r="C9" i="6"/>
  <c r="C5" i="6"/>
  <c r="C15" i="6"/>
  <c r="CI6" i="6"/>
  <c r="CI7" i="6" s="1"/>
  <c r="CI8" i="6" s="1"/>
  <c r="CI9" i="6" s="1"/>
  <c r="CI10" i="6" s="1"/>
  <c r="CI11" i="6" s="1"/>
  <c r="CI12" i="6" s="1"/>
  <c r="CI13" i="6" s="1"/>
  <c r="CI14" i="6" s="1"/>
  <c r="CI15" i="6" s="1"/>
  <c r="AB54" i="6"/>
  <c r="AB50" i="6"/>
  <c r="AB49" i="6"/>
  <c r="AB52" i="6"/>
  <c r="AB47" i="6"/>
  <c r="AB48" i="6"/>
  <c r="AB53" i="6"/>
  <c r="AB46" i="6"/>
  <c r="AB44" i="6"/>
  <c r="AB51" i="6"/>
  <c r="AB45" i="6"/>
  <c r="AB43" i="6"/>
  <c r="AB41" i="6"/>
  <c r="AB39" i="6"/>
  <c r="AB37" i="6"/>
  <c r="AB38" i="6"/>
  <c r="AB42" i="6"/>
  <c r="AB35" i="6"/>
  <c r="AB32" i="6"/>
  <c r="AB34" i="6"/>
  <c r="AB30" i="6"/>
  <c r="AB40" i="6"/>
  <c r="AB29" i="6"/>
  <c r="AB24" i="6"/>
  <c r="AB22" i="6"/>
  <c r="AB36" i="6"/>
  <c r="AB31" i="6"/>
  <c r="AB33" i="6"/>
  <c r="AB25" i="6"/>
  <c r="AB23" i="6"/>
  <c r="AB21" i="6"/>
  <c r="AB27" i="6"/>
  <c r="AB19" i="6"/>
  <c r="AB17" i="6"/>
  <c r="AB16" i="6"/>
  <c r="AB13" i="6"/>
  <c r="AB14" i="6"/>
  <c r="AB26" i="6"/>
  <c r="AB9" i="6"/>
  <c r="AC5" i="6"/>
  <c r="AB11" i="6"/>
  <c r="AB18" i="6"/>
  <c r="AB20" i="6"/>
  <c r="W13" i="6"/>
  <c r="AB7" i="6"/>
  <c r="E24" i="7"/>
  <c r="BD68" i="6"/>
  <c r="AD68" i="6"/>
  <c r="BE68" i="6"/>
  <c r="E23" i="7"/>
  <c r="G11" i="7"/>
  <c r="G12" i="7"/>
  <c r="I11" i="7"/>
  <c r="R5" i="6" l="1"/>
  <c r="R13" i="6"/>
  <c r="R29" i="6"/>
  <c r="R47" i="6"/>
  <c r="R15" i="6"/>
  <c r="R24" i="6"/>
  <c r="R6" i="6"/>
  <c r="R25" i="6"/>
  <c r="W32" i="6"/>
  <c r="W53" i="6"/>
  <c r="R22" i="6"/>
  <c r="R41" i="6"/>
  <c r="R54" i="6"/>
  <c r="R23" i="6"/>
  <c r="R34" i="6"/>
  <c r="R31" i="6"/>
  <c r="R39" i="6"/>
  <c r="R68" i="6" s="1"/>
  <c r="R42" i="6"/>
  <c r="R7" i="6"/>
  <c r="R19" i="6"/>
  <c r="R33" i="6"/>
  <c r="R10" i="6"/>
  <c r="R11" i="6"/>
  <c r="W35" i="6"/>
  <c r="W42" i="6"/>
  <c r="R28" i="6"/>
  <c r="W37" i="6"/>
  <c r="W36" i="6"/>
  <c r="W9" i="6"/>
  <c r="W44" i="6"/>
  <c r="W19" i="6"/>
  <c r="W29" i="6"/>
  <c r="W43" i="6"/>
  <c r="W45" i="6"/>
  <c r="R50" i="6"/>
  <c r="W17" i="6"/>
  <c r="W12" i="6"/>
  <c r="W33" i="6"/>
  <c r="W46" i="6"/>
  <c r="W47" i="6"/>
  <c r="W28" i="6"/>
  <c r="W15" i="6"/>
  <c r="W21" i="6"/>
  <c r="W38" i="6"/>
  <c r="W18" i="6"/>
  <c r="W23" i="6"/>
  <c r="W30" i="6"/>
  <c r="W39" i="6"/>
  <c r="W48" i="6"/>
  <c r="W22" i="6"/>
  <c r="W7" i="6"/>
  <c r="W26" i="6"/>
  <c r="W16" i="6"/>
  <c r="W20" i="6"/>
  <c r="W25" i="6"/>
  <c r="W34" i="6"/>
  <c r="W40" i="6"/>
  <c r="W52" i="6"/>
  <c r="W14" i="6"/>
  <c r="W27" i="6"/>
  <c r="W31" i="6"/>
  <c r="W41" i="6"/>
  <c r="W54" i="6"/>
  <c r="R32" i="6"/>
  <c r="R36" i="6"/>
  <c r="R53" i="6"/>
  <c r="R40" i="6"/>
  <c r="R43" i="6"/>
  <c r="R48" i="6"/>
  <c r="R49" i="6"/>
  <c r="R46" i="6"/>
  <c r="W50" i="6"/>
  <c r="W51" i="6"/>
  <c r="W49" i="6"/>
  <c r="I24" i="4"/>
  <c r="W8" i="6"/>
  <c r="W11" i="6"/>
  <c r="W10" i="6"/>
  <c r="W24" i="6"/>
  <c r="C18" i="2"/>
  <c r="D11" i="4" s="1"/>
  <c r="C17" i="2"/>
  <c r="D10" i="4" s="1"/>
  <c r="D9" i="4"/>
  <c r="E15" i="4" s="1"/>
  <c r="AK68" i="6"/>
  <c r="A67" i="6"/>
  <c r="A69" i="6"/>
  <c r="V68" i="6"/>
  <c r="C68" i="6"/>
  <c r="W68" i="6"/>
  <c r="AC6" i="6"/>
  <c r="AC12" i="6"/>
  <c r="AC10" i="6"/>
  <c r="AC15" i="6"/>
  <c r="AD8" i="6"/>
  <c r="I43" i="2"/>
  <c r="X5" i="6" s="1"/>
  <c r="AD33" i="6"/>
  <c r="AC33" i="6"/>
  <c r="AC16" i="6"/>
  <c r="AD16" i="6"/>
  <c r="AC31" i="6"/>
  <c r="AD31" i="6"/>
  <c r="AC32" i="6"/>
  <c r="AD32" i="6"/>
  <c r="AD45" i="6"/>
  <c r="AC45" i="6"/>
  <c r="AC49" i="6"/>
  <c r="AD49" i="6"/>
  <c r="E53" i="5"/>
  <c r="AC13" i="6"/>
  <c r="AD13" i="6"/>
  <c r="AC52" i="6"/>
  <c r="AD52" i="6"/>
  <c r="AD20" i="6"/>
  <c r="AC20" i="6"/>
  <c r="AC17" i="6"/>
  <c r="AD17" i="6"/>
  <c r="AD36" i="6"/>
  <c r="AC36" i="6"/>
  <c r="AD35" i="6"/>
  <c r="AC35" i="6"/>
  <c r="AD51" i="6"/>
  <c r="AC51" i="6"/>
  <c r="AC50" i="6"/>
  <c r="AD50" i="6"/>
  <c r="D20" i="4"/>
  <c r="G24" i="7"/>
  <c r="AD9" i="6"/>
  <c r="AC9" i="6"/>
  <c r="AC19" i="6"/>
  <c r="AD19" i="6"/>
  <c r="AD22" i="6"/>
  <c r="AC22" i="6"/>
  <c r="AD42" i="6"/>
  <c r="AC42" i="6"/>
  <c r="AC44" i="6"/>
  <c r="AD44" i="6"/>
  <c r="AC54" i="6"/>
  <c r="AD54" i="6"/>
  <c r="E87" i="5"/>
  <c r="E60" i="5"/>
  <c r="E54" i="5"/>
  <c r="AC34" i="6"/>
  <c r="AD34" i="6"/>
  <c r="G23" i="7"/>
  <c r="AC27" i="6"/>
  <c r="AD27" i="6"/>
  <c r="AD24" i="6"/>
  <c r="AC24" i="6"/>
  <c r="AC38" i="6"/>
  <c r="AD38" i="6"/>
  <c r="AC46" i="6"/>
  <c r="AD46" i="6"/>
  <c r="E52" i="5"/>
  <c r="E58" i="5"/>
  <c r="AD29" i="6"/>
  <c r="AC29" i="6"/>
  <c r="AD37" i="6"/>
  <c r="AC37" i="6"/>
  <c r="AD53" i="6"/>
  <c r="AC53" i="6"/>
  <c r="R14" i="6"/>
  <c r="D19" i="4"/>
  <c r="E68" i="5"/>
  <c r="E79" i="5"/>
  <c r="I23" i="7"/>
  <c r="AD7" i="6"/>
  <c r="AC7" i="6"/>
  <c r="AD18" i="6"/>
  <c r="AC18" i="6"/>
  <c r="AC21" i="6"/>
  <c r="AD21" i="6"/>
  <c r="AD26" i="6"/>
  <c r="AC26" i="6"/>
  <c r="AC23" i="6"/>
  <c r="AD23" i="6"/>
  <c r="AD40" i="6"/>
  <c r="AC40" i="6"/>
  <c r="AC39" i="6"/>
  <c r="AD39" i="6"/>
  <c r="AD48" i="6"/>
  <c r="AC48" i="6"/>
  <c r="CI16" i="6"/>
  <c r="CI17" i="6" s="1"/>
  <c r="CI18" i="6" s="1"/>
  <c r="CI19" i="6" s="1"/>
  <c r="CI20" i="6" s="1"/>
  <c r="CI21" i="6" s="1"/>
  <c r="CI22" i="6" s="1"/>
  <c r="CI23" i="6" s="1"/>
  <c r="CI24" i="6" s="1"/>
  <c r="CI25" i="6" s="1"/>
  <c r="F6" i="5"/>
  <c r="I5" i="5"/>
  <c r="L5" i="5" s="1"/>
  <c r="O5" i="5" s="1"/>
  <c r="E62" i="5"/>
  <c r="AC43" i="6"/>
  <c r="AD43" i="6"/>
  <c r="AC11" i="6"/>
  <c r="AD11" i="6"/>
  <c r="AD14" i="6"/>
  <c r="AC14" i="6"/>
  <c r="AC25" i="6"/>
  <c r="AD25" i="6"/>
  <c r="AD30" i="6"/>
  <c r="AC30" i="6"/>
  <c r="AD41" i="6"/>
  <c r="AC41" i="6"/>
  <c r="AD47" i="6"/>
  <c r="AC47" i="6"/>
  <c r="D5" i="6"/>
  <c r="B6" i="6"/>
  <c r="E61" i="5"/>
  <c r="E59" i="5"/>
  <c r="E57" i="5"/>
  <c r="T73" i="6" l="1"/>
  <c r="C20" i="2"/>
  <c r="C23" i="2" s="1"/>
  <c r="AB73" i="6"/>
  <c r="E73" i="6"/>
  <c r="W73" i="6"/>
  <c r="CQ73" i="6"/>
  <c r="DQ73" i="6"/>
  <c r="CN73" i="6"/>
  <c r="S73" i="6"/>
  <c r="DL73" i="6"/>
  <c r="DG73" i="6"/>
  <c r="U73" i="6"/>
  <c r="CU73" i="6"/>
  <c r="V73" i="6"/>
  <c r="CH73" i="6"/>
  <c r="DO73" i="6"/>
  <c r="CR73" i="6"/>
  <c r="CT73" i="6"/>
  <c r="C73" i="6"/>
  <c r="CS73" i="6"/>
  <c r="DP73" i="6"/>
  <c r="CO73" i="6"/>
  <c r="CY73" i="6"/>
  <c r="CP73" i="6"/>
  <c r="DK73" i="6"/>
  <c r="DF73" i="6"/>
  <c r="DJ73" i="6"/>
  <c r="CV73" i="6"/>
  <c r="CX73" i="6"/>
  <c r="DM73" i="6"/>
  <c r="DN73" i="6"/>
  <c r="CI73" i="6"/>
  <c r="DH73" i="6"/>
  <c r="AK73" i="6"/>
  <c r="CW73" i="6"/>
  <c r="DI73" i="6"/>
  <c r="J43" i="2"/>
  <c r="E70" i="5"/>
  <c r="F7" i="5"/>
  <c r="I6" i="5"/>
  <c r="L6" i="5" s="1"/>
  <c r="O6" i="5" s="1"/>
  <c r="E64" i="5"/>
  <c r="D13" i="4"/>
  <c r="E99" i="5"/>
  <c r="E65" i="5"/>
  <c r="E91" i="5"/>
  <c r="AC73" i="6"/>
  <c r="E71" i="5"/>
  <c r="E69" i="5"/>
  <c r="AD73" i="6"/>
  <c r="E73" i="5"/>
  <c r="B7" i="6"/>
  <c r="D6" i="6"/>
  <c r="CI26" i="6"/>
  <c r="CI27" i="6" s="1"/>
  <c r="CI28" i="6" s="1"/>
  <c r="CI29" i="6" s="1"/>
  <c r="CI30" i="6" s="1"/>
  <c r="CI31" i="6" s="1"/>
  <c r="CI32" i="6" s="1"/>
  <c r="CI33" i="6" s="1"/>
  <c r="CI34" i="6" s="1"/>
  <c r="CI35" i="6" s="1"/>
  <c r="E80" i="5"/>
  <c r="R73" i="6"/>
  <c r="E66" i="5"/>
  <c r="X54" i="6"/>
  <c r="X53" i="6"/>
  <c r="X49" i="6"/>
  <c r="X50" i="6"/>
  <c r="X45" i="6"/>
  <c r="X52" i="6"/>
  <c r="X47" i="6"/>
  <c r="X48" i="6"/>
  <c r="X42" i="6"/>
  <c r="X41" i="6"/>
  <c r="X43" i="6"/>
  <c r="X46" i="6"/>
  <c r="X36" i="6"/>
  <c r="X35" i="6"/>
  <c r="X51" i="6"/>
  <c r="X34" i="6"/>
  <c r="X44" i="6"/>
  <c r="X33" i="6"/>
  <c r="X29" i="6"/>
  <c r="X31" i="6"/>
  <c r="X28" i="6"/>
  <c r="X26" i="6"/>
  <c r="X39" i="6"/>
  <c r="X37" i="6"/>
  <c r="X32" i="6"/>
  <c r="X27" i="6"/>
  <c r="X25" i="6"/>
  <c r="X23" i="6"/>
  <c r="X21" i="6"/>
  <c r="X38" i="6"/>
  <c r="X30" i="6"/>
  <c r="X40" i="6"/>
  <c r="X20" i="6"/>
  <c r="X18" i="6"/>
  <c r="X15" i="6"/>
  <c r="X11" i="6"/>
  <c r="X24" i="6"/>
  <c r="X22" i="6"/>
  <c r="X14" i="6"/>
  <c r="X9" i="6"/>
  <c r="X10" i="6"/>
  <c r="X12" i="6"/>
  <c r="X6" i="6"/>
  <c r="X19" i="6"/>
  <c r="X17" i="6"/>
  <c r="X7" i="6"/>
  <c r="X16" i="6"/>
  <c r="X8" i="6"/>
  <c r="X13" i="6"/>
  <c r="E72" i="5"/>
  <c r="E74" i="5"/>
  <c r="AL33" i="6" l="1"/>
  <c r="AM33" i="6" s="1"/>
  <c r="AL46" i="6"/>
  <c r="AM46" i="6" s="1"/>
  <c r="AL52" i="6"/>
  <c r="AM52" i="6" s="1"/>
  <c r="AL29" i="6"/>
  <c r="AM29" i="6" s="1"/>
  <c r="AL21" i="6"/>
  <c r="AM21" i="6" s="1"/>
  <c r="AL9" i="6"/>
  <c r="AM9" i="6" s="1"/>
  <c r="AL47" i="6"/>
  <c r="AM47" i="6" s="1"/>
  <c r="AL35" i="6"/>
  <c r="AM35" i="6" s="1"/>
  <c r="AL20" i="6"/>
  <c r="AM20" i="6" s="1"/>
  <c r="AL42" i="6"/>
  <c r="AM42" i="6" s="1"/>
  <c r="C25" i="2"/>
  <c r="G48" i="2" s="1"/>
  <c r="I48" i="2"/>
  <c r="AL16" i="6"/>
  <c r="AM16" i="6" s="1"/>
  <c r="AL44" i="6"/>
  <c r="AM44" i="6" s="1"/>
  <c r="AL7" i="6"/>
  <c r="AM7" i="6" s="1"/>
  <c r="AL27" i="6"/>
  <c r="AM27" i="6" s="1"/>
  <c r="AL10" i="6"/>
  <c r="AM10" i="6" s="1"/>
  <c r="AL18" i="6"/>
  <c r="AM18" i="6" s="1"/>
  <c r="AL43" i="6"/>
  <c r="AM43" i="6" s="1"/>
  <c r="AL30" i="6"/>
  <c r="AM30" i="6" s="1"/>
  <c r="AL50" i="6"/>
  <c r="AM50" i="6" s="1"/>
  <c r="AL48" i="6"/>
  <c r="AM48" i="6" s="1"/>
  <c r="AL13" i="6"/>
  <c r="AM13" i="6" s="1"/>
  <c r="AL31" i="6"/>
  <c r="AM31" i="6" s="1"/>
  <c r="AL41" i="6"/>
  <c r="AM41" i="6" s="1"/>
  <c r="AL15" i="6"/>
  <c r="AM15" i="6" s="1"/>
  <c r="AL26" i="6"/>
  <c r="AM26" i="6" s="1"/>
  <c r="AL5" i="6"/>
  <c r="AM5" i="6" s="1"/>
  <c r="AL24" i="6"/>
  <c r="AM24" i="6" s="1"/>
  <c r="AL40" i="6"/>
  <c r="AM40" i="6" s="1"/>
  <c r="AL51" i="6"/>
  <c r="AM51" i="6" s="1"/>
  <c r="AL12" i="6"/>
  <c r="AM12" i="6" s="1"/>
  <c r="AL25" i="6"/>
  <c r="AM25" i="6" s="1"/>
  <c r="AL14" i="6"/>
  <c r="AM14" i="6" s="1"/>
  <c r="AM73" i="6" s="1"/>
  <c r="AL37" i="6"/>
  <c r="AM37" i="6" s="1"/>
  <c r="AL49" i="6"/>
  <c r="AM49" i="6" s="1"/>
  <c r="AL11" i="6"/>
  <c r="AM11" i="6" s="1"/>
  <c r="AL23" i="6"/>
  <c r="AM23" i="6" s="1"/>
  <c r="AL34" i="6"/>
  <c r="AM34" i="6" s="1"/>
  <c r="AL6" i="6"/>
  <c r="AM6" i="6" s="1"/>
  <c r="AL22" i="6"/>
  <c r="AM22" i="6" s="1"/>
  <c r="AL39" i="6"/>
  <c r="AM39" i="6" s="1"/>
  <c r="AL54" i="6"/>
  <c r="AM54" i="6" s="1"/>
  <c r="AL19" i="6"/>
  <c r="AM19" i="6" s="1"/>
  <c r="AL32" i="6"/>
  <c r="AM32" i="6" s="1"/>
  <c r="AL45" i="6"/>
  <c r="AM45" i="6" s="1"/>
  <c r="AL28" i="6"/>
  <c r="AM28" i="6" s="1"/>
  <c r="AL38" i="6"/>
  <c r="AM38" i="6" s="1"/>
  <c r="AL8" i="6"/>
  <c r="AM8" i="6" s="1"/>
  <c r="AL17" i="6"/>
  <c r="AM17" i="6" s="1"/>
  <c r="AL36" i="6"/>
  <c r="AM36" i="6" s="1"/>
  <c r="AL53" i="6"/>
  <c r="AM53" i="6" s="1"/>
  <c r="X68" i="6"/>
  <c r="BX68" i="6" s="1"/>
  <c r="AA4" i="6"/>
  <c r="K48" i="2" s="1"/>
  <c r="E103" i="5"/>
  <c r="CI36" i="6"/>
  <c r="CI37" i="6" s="1"/>
  <c r="CI38" i="6" s="1"/>
  <c r="CI39" i="6" s="1"/>
  <c r="CI40" i="6" s="1"/>
  <c r="CI41" i="6" s="1"/>
  <c r="CI42" i="6" s="1"/>
  <c r="CI43" i="6" s="1"/>
  <c r="CI44" i="6" s="1"/>
  <c r="CI45" i="6" s="1"/>
  <c r="E86" i="5"/>
  <c r="E83" i="5"/>
  <c r="E77" i="5"/>
  <c r="E111" i="5"/>
  <c r="X73" i="6"/>
  <c r="D24" i="4"/>
  <c r="H24" i="4" s="1"/>
  <c r="B8" i="6"/>
  <c r="D7" i="6"/>
  <c r="E84" i="5"/>
  <c r="E85" i="5"/>
  <c r="DD4" i="6"/>
  <c r="CJ4" i="6"/>
  <c r="BK4" i="6"/>
  <c r="DC4" i="6"/>
  <c r="BZ4" i="6"/>
  <c r="CA4" i="6" s="1"/>
  <c r="BR4" i="6"/>
  <c r="BS4" i="6" s="1"/>
  <c r="BJ4" i="6"/>
  <c r="DA4" i="6"/>
  <c r="DS4" i="6" s="1"/>
  <c r="CF4" i="6"/>
  <c r="CG4" i="6" s="1"/>
  <c r="BX4" i="6"/>
  <c r="BP4" i="6"/>
  <c r="BQ4" i="6" s="1"/>
  <c r="CN4" i="6"/>
  <c r="BW4" i="6"/>
  <c r="CM4" i="6"/>
  <c r="CD4" i="6"/>
  <c r="CE4" i="6" s="1"/>
  <c r="BV4" i="6"/>
  <c r="BN4" i="6"/>
  <c r="BO4" i="6" s="1"/>
  <c r="BL4" i="6"/>
  <c r="CB4" i="6"/>
  <c r="CC4" i="6" s="1"/>
  <c r="BY4" i="6"/>
  <c r="DE4" i="6"/>
  <c r="DB4" i="6"/>
  <c r="BT4" i="6"/>
  <c r="BU4" i="6" s="1"/>
  <c r="CL4" i="6"/>
  <c r="CK4" i="6"/>
  <c r="BM4" i="6"/>
  <c r="D23" i="2"/>
  <c r="G3" i="5"/>
  <c r="F8" i="5"/>
  <c r="I7" i="5"/>
  <c r="L7" i="5" s="1"/>
  <c r="O7" i="5" s="1"/>
  <c r="E78" i="5"/>
  <c r="E82" i="5"/>
  <c r="E92" i="5"/>
  <c r="E81" i="5"/>
  <c r="E76" i="5"/>
  <c r="J48" i="2" l="1"/>
  <c r="Y16" i="6"/>
  <c r="AA16" i="6" s="1"/>
  <c r="Y32" i="6"/>
  <c r="AA32" i="6" s="1"/>
  <c r="Y51" i="6"/>
  <c r="AA51" i="6" s="1"/>
  <c r="C26" i="2"/>
  <c r="C31" i="2" s="1"/>
  <c r="Y15" i="6"/>
  <c r="AA15" i="6" s="1"/>
  <c r="Y31" i="6"/>
  <c r="AA31" i="6" s="1"/>
  <c r="Y49" i="6"/>
  <c r="AA49" i="6" s="1"/>
  <c r="Y5" i="6"/>
  <c r="AA5" i="6" s="1"/>
  <c r="Y10" i="6"/>
  <c r="AA10" i="6" s="1"/>
  <c r="Y36" i="6"/>
  <c r="AA36" i="6" s="1"/>
  <c r="Y47" i="6"/>
  <c r="AA47" i="6" s="1"/>
  <c r="Y24" i="6"/>
  <c r="AA24" i="6" s="1"/>
  <c r="K51" i="2" s="1"/>
  <c r="Y9" i="6"/>
  <c r="AA9" i="6" s="1"/>
  <c r="K49" i="2" s="1"/>
  <c r="Y14" i="6"/>
  <c r="AA14" i="6" s="1"/>
  <c r="K50" i="2" s="1"/>
  <c r="Y33" i="6"/>
  <c r="AA33" i="6" s="1"/>
  <c r="Y20" i="6"/>
  <c r="AA20" i="6" s="1"/>
  <c r="Y53" i="6"/>
  <c r="AA53" i="6" s="1"/>
  <c r="F4" i="6"/>
  <c r="I48" i="6" s="1"/>
  <c r="Y38" i="6"/>
  <c r="AA38" i="6" s="1"/>
  <c r="Y41" i="6"/>
  <c r="AA41" i="6" s="1"/>
  <c r="Y6" i="6"/>
  <c r="AA6" i="6" s="1"/>
  <c r="Y23" i="6"/>
  <c r="AA23" i="6" s="1"/>
  <c r="Y34" i="6"/>
  <c r="AA34" i="6" s="1"/>
  <c r="K52" i="2" s="1"/>
  <c r="G97" i="2"/>
  <c r="Y13" i="6"/>
  <c r="AA13" i="6" s="1"/>
  <c r="Y27" i="6"/>
  <c r="AA27" i="6" s="1"/>
  <c r="Y54" i="6"/>
  <c r="AA54" i="6" s="1"/>
  <c r="L48" i="2"/>
  <c r="Y8" i="6"/>
  <c r="AA8" i="6" s="1"/>
  <c r="Y17" i="6"/>
  <c r="AA17" i="6" s="1"/>
  <c r="Y26" i="6"/>
  <c r="AA26" i="6" s="1"/>
  <c r="Y45" i="6"/>
  <c r="AA45" i="6" s="1"/>
  <c r="Y37" i="6"/>
  <c r="AA37" i="6" s="1"/>
  <c r="Y46" i="6"/>
  <c r="AA46" i="6" s="1"/>
  <c r="Y52" i="6"/>
  <c r="AA52" i="6" s="1"/>
  <c r="Y11" i="6"/>
  <c r="AA11" i="6" s="1"/>
  <c r="Y19" i="6"/>
  <c r="AA19" i="6" s="1"/>
  <c r="Y40" i="6"/>
  <c r="AA40" i="6" s="1"/>
  <c r="Y35" i="6"/>
  <c r="AA35" i="6" s="1"/>
  <c r="Y39" i="6"/>
  <c r="AA39" i="6" s="1"/>
  <c r="Y48" i="6"/>
  <c r="AA48" i="6" s="1"/>
  <c r="B10" i="7"/>
  <c r="D10" i="7" s="1"/>
  <c r="Y43" i="6"/>
  <c r="AA43" i="6" s="1"/>
  <c r="Y7" i="6"/>
  <c r="AA7" i="6" s="1"/>
  <c r="Y18" i="6"/>
  <c r="AA18" i="6" s="1"/>
  <c r="Y21" i="6"/>
  <c r="AA21" i="6" s="1"/>
  <c r="Y22" i="6"/>
  <c r="AA22" i="6" s="1"/>
  <c r="Y30" i="6"/>
  <c r="AA30" i="6" s="1"/>
  <c r="Y44" i="6"/>
  <c r="AA44" i="6" s="1"/>
  <c r="K53" i="2" s="1"/>
  <c r="Y12" i="6"/>
  <c r="AA12" i="6" s="1"/>
  <c r="Y28" i="6"/>
  <c r="AA28" i="6" s="1"/>
  <c r="Y25" i="6"/>
  <c r="AA25" i="6" s="1"/>
  <c r="Y29" i="6"/>
  <c r="AA29" i="6" s="1"/>
  <c r="Y42" i="6"/>
  <c r="AA42" i="6" s="1"/>
  <c r="Y50" i="6"/>
  <c r="AA50" i="6" s="1"/>
  <c r="C36" i="2"/>
  <c r="AL68" i="6"/>
  <c r="AM68" i="6"/>
  <c r="AL73" i="6"/>
  <c r="BY68" i="6"/>
  <c r="E104" i="5"/>
  <c r="E93" i="5"/>
  <c r="F9" i="5"/>
  <c r="I8" i="5"/>
  <c r="L8" i="5" s="1"/>
  <c r="O8" i="5" s="1"/>
  <c r="E96" i="5"/>
  <c r="E123" i="5"/>
  <c r="J3" i="5"/>
  <c r="E89" i="5"/>
  <c r="E94" i="5"/>
  <c r="D8" i="6"/>
  <c r="B9" i="6"/>
  <c r="Z4" i="6"/>
  <c r="Y4" i="6"/>
  <c r="H22" i="4"/>
  <c r="E95" i="5"/>
  <c r="E97" i="5"/>
  <c r="E98" i="5"/>
  <c r="E88" i="5"/>
  <c r="E90" i="5"/>
  <c r="E115" i="5"/>
  <c r="G45" i="2" l="1"/>
  <c r="I36" i="6"/>
  <c r="F36" i="6" s="1"/>
  <c r="I42" i="6"/>
  <c r="F42" i="6" s="1"/>
  <c r="I46" i="6"/>
  <c r="F46" i="6" s="1"/>
  <c r="I30" i="6"/>
  <c r="F30" i="6" s="1"/>
  <c r="I34" i="6"/>
  <c r="F34" i="6" s="1"/>
  <c r="G52" i="2" s="1"/>
  <c r="I12" i="6"/>
  <c r="M12" i="6" s="1"/>
  <c r="I32" i="6"/>
  <c r="F32" i="6" s="1"/>
  <c r="I19" i="6"/>
  <c r="Q19" i="6" s="1"/>
  <c r="I35" i="6"/>
  <c r="F35" i="6" s="1"/>
  <c r="I43" i="6"/>
  <c r="F43" i="6" s="1"/>
  <c r="I17" i="6"/>
  <c r="Q17" i="6" s="1"/>
  <c r="I15" i="6"/>
  <c r="F15" i="6" s="1"/>
  <c r="I22" i="6"/>
  <c r="F22" i="6" s="1"/>
  <c r="I44" i="6"/>
  <c r="F44" i="6" s="1"/>
  <c r="G53" i="2" s="1"/>
  <c r="I54" i="6"/>
  <c r="F54" i="6" s="1"/>
  <c r="B12" i="7"/>
  <c r="I10" i="6"/>
  <c r="M10" i="6" s="1"/>
  <c r="I49" i="6"/>
  <c r="F49" i="6" s="1"/>
  <c r="I9" i="6"/>
  <c r="F9" i="6" s="1"/>
  <c r="G49" i="2" s="1"/>
  <c r="I33" i="6"/>
  <c r="F33" i="6" s="1"/>
  <c r="I26" i="6"/>
  <c r="F26" i="6" s="1"/>
  <c r="I31" i="6"/>
  <c r="F31" i="6" s="1"/>
  <c r="I47" i="6"/>
  <c r="F47" i="6" s="1"/>
  <c r="I11" i="6"/>
  <c r="M11" i="6" s="1"/>
  <c r="I25" i="6"/>
  <c r="F25" i="6" s="1"/>
  <c r="I53" i="6"/>
  <c r="F53" i="6" s="1"/>
  <c r="I7" i="6"/>
  <c r="M7" i="6" s="1"/>
  <c r="I18" i="6"/>
  <c r="Q18" i="6" s="1"/>
  <c r="I21" i="6"/>
  <c r="F21" i="6" s="1"/>
  <c r="I24" i="6"/>
  <c r="F24" i="6" s="1"/>
  <c r="G51" i="2" s="1"/>
  <c r="I41" i="6"/>
  <c r="F41" i="6" s="1"/>
  <c r="I50" i="6"/>
  <c r="F50" i="6" s="1"/>
  <c r="J4" i="6"/>
  <c r="N4" i="6" s="1"/>
  <c r="I6" i="6"/>
  <c r="Q6" i="6" s="1"/>
  <c r="I20" i="6"/>
  <c r="F20" i="6" s="1"/>
  <c r="I23" i="6"/>
  <c r="F23" i="6" s="1"/>
  <c r="I29" i="6"/>
  <c r="F29" i="6" s="1"/>
  <c r="I39" i="6"/>
  <c r="F39" i="6" s="1"/>
  <c r="I51" i="6"/>
  <c r="F51" i="6" s="1"/>
  <c r="I5" i="6"/>
  <c r="F5" i="6" s="1"/>
  <c r="I13" i="6"/>
  <c r="F13" i="6" s="1"/>
  <c r="I14" i="6"/>
  <c r="I72" i="6" s="1"/>
  <c r="I27" i="6"/>
  <c r="F27" i="6" s="1"/>
  <c r="I37" i="6"/>
  <c r="F37" i="6" s="1"/>
  <c r="I45" i="6"/>
  <c r="F45" i="6" s="1"/>
  <c r="I52" i="6"/>
  <c r="F52" i="6" s="1"/>
  <c r="I8" i="6"/>
  <c r="F8" i="6" s="1"/>
  <c r="I16" i="6"/>
  <c r="Q16" i="6" s="1"/>
  <c r="I28" i="6"/>
  <c r="F28" i="6" s="1"/>
  <c r="I40" i="6"/>
  <c r="F40" i="6" s="1"/>
  <c r="I38" i="6"/>
  <c r="F38" i="6" s="1"/>
  <c r="Z5" i="6"/>
  <c r="Z6" i="6" s="1"/>
  <c r="Z7" i="6" s="1"/>
  <c r="Z8" i="6" s="1"/>
  <c r="Z9" i="6" s="1"/>
  <c r="Z10" i="6" s="1"/>
  <c r="Z11" i="6" s="1"/>
  <c r="Z12" i="6" s="1"/>
  <c r="Z13" i="6" s="1"/>
  <c r="Z14" i="6" s="1"/>
  <c r="Z15" i="6" s="1"/>
  <c r="Z16" i="6" s="1"/>
  <c r="Z17" i="6" s="1"/>
  <c r="Z18" i="6" s="1"/>
  <c r="Z19" i="6" s="1"/>
  <c r="Z20" i="6" s="1"/>
  <c r="Z21" i="6" s="1"/>
  <c r="Z22" i="6" s="1"/>
  <c r="Z23" i="6" s="1"/>
  <c r="Z24" i="6" s="1"/>
  <c r="Z25" i="6" s="1"/>
  <c r="Z26" i="6" s="1"/>
  <c r="Z27" i="6" s="1"/>
  <c r="Z28" i="6" s="1"/>
  <c r="Z29" i="6" s="1"/>
  <c r="Z30" i="6" s="1"/>
  <c r="Z31" i="6" s="1"/>
  <c r="Z32" i="6" s="1"/>
  <c r="Z33" i="6" s="1"/>
  <c r="Z34" i="6" s="1"/>
  <c r="Z35" i="6" s="1"/>
  <c r="Z36" i="6" s="1"/>
  <c r="Z37" i="6" s="1"/>
  <c r="Y73" i="6"/>
  <c r="I20" i="7"/>
  <c r="I25" i="7" s="1"/>
  <c r="E21" i="7"/>
  <c r="B11" i="7"/>
  <c r="B13" i="7" s="1"/>
  <c r="F10" i="7"/>
  <c r="F11" i="7" s="1"/>
  <c r="F23" i="7" s="1"/>
  <c r="H10" i="7"/>
  <c r="H11" i="7" s="1"/>
  <c r="H23" i="7" s="1"/>
  <c r="E20" i="7"/>
  <c r="E25" i="7" s="1"/>
  <c r="G20" i="7"/>
  <c r="G25" i="7" s="1"/>
  <c r="E127" i="5"/>
  <c r="E105" i="5"/>
  <c r="D9" i="7"/>
  <c r="D12" i="7" s="1"/>
  <c r="D24" i="7" s="1"/>
  <c r="D26" i="7" s="1"/>
  <c r="E26" i="7" s="1"/>
  <c r="D11" i="7"/>
  <c r="D23" i="7" s="1"/>
  <c r="E135" i="5"/>
  <c r="E100" i="5"/>
  <c r="E110" i="5"/>
  <c r="E101" i="5"/>
  <c r="E108" i="5"/>
  <c r="E109" i="5"/>
  <c r="M3" i="5"/>
  <c r="B10" i="6"/>
  <c r="D9" i="6"/>
  <c r="H49" i="2" s="1"/>
  <c r="E102" i="5"/>
  <c r="H31" i="4"/>
  <c r="AA73" i="6"/>
  <c r="E107" i="5"/>
  <c r="I9" i="5"/>
  <c r="L9" i="5" s="1"/>
  <c r="O9" i="5" s="1"/>
  <c r="F10" i="5"/>
  <c r="E116" i="5"/>
  <c r="F48" i="6"/>
  <c r="E106" i="5"/>
  <c r="J49" i="2" l="1"/>
  <c r="F18" i="6"/>
  <c r="N18" i="6" s="1"/>
  <c r="Q15" i="6"/>
  <c r="F17" i="6"/>
  <c r="M9" i="6"/>
  <c r="M13" i="6"/>
  <c r="Q12" i="6"/>
  <c r="F12" i="6"/>
  <c r="H13" i="6" s="1"/>
  <c r="Q13" i="6"/>
  <c r="Q7" i="6"/>
  <c r="F10" i="6"/>
  <c r="J10" i="6" s="1"/>
  <c r="Q10" i="6"/>
  <c r="F19" i="6"/>
  <c r="N19" i="6" s="1"/>
  <c r="Q11" i="6"/>
  <c r="F11" i="6"/>
  <c r="J11" i="6" s="1"/>
  <c r="Q8" i="6"/>
  <c r="Q9" i="6"/>
  <c r="M8" i="6"/>
  <c r="M6" i="6"/>
  <c r="F16" i="6"/>
  <c r="M14" i="6"/>
  <c r="M73" i="6" s="1"/>
  <c r="F6" i="6"/>
  <c r="N6" i="6" s="1"/>
  <c r="Q14" i="6"/>
  <c r="Q73" i="6" s="1"/>
  <c r="M5" i="6"/>
  <c r="Q5" i="6" s="1"/>
  <c r="I67" i="6"/>
  <c r="H9" i="7"/>
  <c r="H12" i="7" s="1"/>
  <c r="H24" i="7" s="1"/>
  <c r="H26" i="7" s="1"/>
  <c r="I26" i="7" s="1"/>
  <c r="F14" i="6"/>
  <c r="G50" i="2" s="1"/>
  <c r="F7" i="6"/>
  <c r="J7" i="6" s="1"/>
  <c r="F9" i="7"/>
  <c r="F12" i="7" s="1"/>
  <c r="F24" i="7" s="1"/>
  <c r="F26" i="7" s="1"/>
  <c r="G26" i="7" s="1"/>
  <c r="B14" i="7"/>
  <c r="H14" i="7" s="1"/>
  <c r="Z73" i="6"/>
  <c r="H29" i="6"/>
  <c r="AA68" i="6"/>
  <c r="L79" i="2" s="1"/>
  <c r="H39" i="6"/>
  <c r="H50" i="6"/>
  <c r="H21" i="6"/>
  <c r="H33" i="6"/>
  <c r="H34" i="6"/>
  <c r="H44" i="6"/>
  <c r="H41" i="6"/>
  <c r="H53" i="6"/>
  <c r="H30" i="6"/>
  <c r="H42" i="6"/>
  <c r="H46" i="6"/>
  <c r="H26" i="6"/>
  <c r="H28" i="6"/>
  <c r="H49" i="6"/>
  <c r="H23" i="6"/>
  <c r="E119" i="5"/>
  <c r="H48" i="6"/>
  <c r="F67" i="6"/>
  <c r="H37" i="6"/>
  <c r="H27" i="6"/>
  <c r="B11" i="6"/>
  <c r="D10" i="6"/>
  <c r="H54" i="6"/>
  <c r="H52" i="6"/>
  <c r="H51" i="6"/>
  <c r="E122" i="5"/>
  <c r="E112" i="5"/>
  <c r="H47" i="6"/>
  <c r="E117" i="5"/>
  <c r="H40" i="6"/>
  <c r="P3" i="5"/>
  <c r="H45" i="6"/>
  <c r="N15" i="6"/>
  <c r="E147" i="5"/>
  <c r="E128" i="5"/>
  <c r="E114" i="5"/>
  <c r="Z38" i="6"/>
  <c r="Z39" i="6" s="1"/>
  <c r="Z40" i="6" s="1"/>
  <c r="Z41" i="6" s="1"/>
  <c r="Z42" i="6" s="1"/>
  <c r="Z43" i="6" s="1"/>
  <c r="Z44" i="6" s="1"/>
  <c r="Z45" i="6" s="1"/>
  <c r="Z46" i="6" s="1"/>
  <c r="Z47" i="6" s="1"/>
  <c r="Z48" i="6" s="1"/>
  <c r="Z49" i="6" s="1"/>
  <c r="Z50" i="6" s="1"/>
  <c r="Z51" i="6" s="1"/>
  <c r="Z52" i="6" s="1"/>
  <c r="Z53" i="6" s="1"/>
  <c r="Z54" i="6" s="1"/>
  <c r="N9" i="6"/>
  <c r="J9" i="6"/>
  <c r="H25" i="6"/>
  <c r="H36" i="6"/>
  <c r="H35" i="6"/>
  <c r="F13" i="7"/>
  <c r="D13" i="7"/>
  <c r="H13" i="7"/>
  <c r="H32" i="6"/>
  <c r="E118" i="5"/>
  <c r="F68" i="6"/>
  <c r="G55" i="2" s="1"/>
  <c r="H38" i="6"/>
  <c r="H9" i="6"/>
  <c r="N8" i="6"/>
  <c r="J8" i="6"/>
  <c r="E121" i="5"/>
  <c r="H24" i="6"/>
  <c r="H22" i="6"/>
  <c r="H31" i="6"/>
  <c r="I10" i="5"/>
  <c r="L10" i="5" s="1"/>
  <c r="O10" i="5" s="1"/>
  <c r="F11" i="5"/>
  <c r="J13" i="6"/>
  <c r="N13" i="6"/>
  <c r="J5" i="6"/>
  <c r="N5" i="6" s="1"/>
  <c r="H5" i="6"/>
  <c r="E120" i="5"/>
  <c r="E113" i="5"/>
  <c r="H43" i="6"/>
  <c r="E139" i="5"/>
  <c r="H20" i="6" l="1"/>
  <c r="H17" i="6"/>
  <c r="P17" i="6" s="1"/>
  <c r="H10" i="6"/>
  <c r="L10" i="6" s="1"/>
  <c r="H18" i="6"/>
  <c r="P18" i="6" s="1"/>
  <c r="N17" i="6"/>
  <c r="J12" i="6"/>
  <c r="N10" i="6"/>
  <c r="N12" i="6"/>
  <c r="N11" i="6"/>
  <c r="H12" i="6"/>
  <c r="P12" i="6" s="1"/>
  <c r="N7" i="6"/>
  <c r="H19" i="6"/>
  <c r="P19" i="6" s="1"/>
  <c r="H8" i="6"/>
  <c r="L8" i="6" s="1"/>
  <c r="H11" i="6"/>
  <c r="P11" i="6" s="1"/>
  <c r="N16" i="6"/>
  <c r="H16" i="6"/>
  <c r="P16" i="6" s="1"/>
  <c r="H7" i="6"/>
  <c r="P7" i="6" s="1"/>
  <c r="J6" i="6"/>
  <c r="H6" i="6"/>
  <c r="L6" i="6" s="1"/>
  <c r="H15" i="6"/>
  <c r="P15" i="6" s="1"/>
  <c r="D31" i="4"/>
  <c r="D17" i="4"/>
  <c r="D27" i="4" s="1"/>
  <c r="J14" i="6"/>
  <c r="M54" i="6" s="1"/>
  <c r="F72" i="6"/>
  <c r="I73" i="6" s="1"/>
  <c r="N14" i="6"/>
  <c r="N73" i="6" s="1"/>
  <c r="H14" i="6"/>
  <c r="P14" i="6" s="1"/>
  <c r="P73" i="6" s="1"/>
  <c r="D14" i="7"/>
  <c r="F14" i="7"/>
  <c r="Z68" i="6"/>
  <c r="I68" i="6"/>
  <c r="G68" i="6"/>
  <c r="E159" i="5"/>
  <c r="P9" i="6"/>
  <c r="L9" i="6"/>
  <c r="H68" i="6"/>
  <c r="E134" i="5"/>
  <c r="L5" i="6"/>
  <c r="P5" i="6" s="1"/>
  <c r="G5" i="6"/>
  <c r="E126" i="5"/>
  <c r="E131" i="5"/>
  <c r="E125" i="5"/>
  <c r="I11" i="5"/>
  <c r="L11" i="5" s="1"/>
  <c r="O11" i="5" s="1"/>
  <c r="F12" i="5"/>
  <c r="E124" i="5"/>
  <c r="E129" i="5"/>
  <c r="E132" i="5"/>
  <c r="E151" i="5"/>
  <c r="E133" i="5"/>
  <c r="L13" i="6"/>
  <c r="P13" i="6"/>
  <c r="E140" i="5"/>
  <c r="Q52" i="6"/>
  <c r="Q47" i="6"/>
  <c r="Q48" i="6"/>
  <c r="Q44" i="6"/>
  <c r="Q43" i="6"/>
  <c r="Q54" i="6"/>
  <c r="Q51" i="6"/>
  <c r="Q49" i="6"/>
  <c r="Q50" i="6"/>
  <c r="Q53" i="6"/>
  <c r="Q46" i="6"/>
  <c r="Q38" i="6"/>
  <c r="Q34" i="6"/>
  <c r="Q30" i="6"/>
  <c r="Q45" i="6"/>
  <c r="Q39" i="6"/>
  <c r="Q40" i="6"/>
  <c r="Q37" i="6"/>
  <c r="Q33" i="6"/>
  <c r="Q31" i="6"/>
  <c r="Q29" i="6"/>
  <c r="Q24" i="6"/>
  <c r="Q22" i="6"/>
  <c r="Q41" i="6"/>
  <c r="Q32" i="6"/>
  <c r="Q42" i="6"/>
  <c r="Q36" i="6"/>
  <c r="Q27" i="6"/>
  <c r="Q25" i="6"/>
  <c r="Q23" i="6"/>
  <c r="Q21" i="6"/>
  <c r="Q35" i="6"/>
  <c r="Q20" i="6"/>
  <c r="Q26" i="6"/>
  <c r="Q28" i="6"/>
  <c r="D11" i="6"/>
  <c r="B12" i="6"/>
  <c r="E130" i="5"/>
  <c r="H67" i="6"/>
  <c r="P6" i="6" l="1"/>
  <c r="P10" i="6"/>
  <c r="G6" i="6"/>
  <c r="AH6" i="6" s="1"/>
  <c r="AU6" i="6" s="1"/>
  <c r="M41" i="6"/>
  <c r="J41" i="6" s="1"/>
  <c r="M29" i="6"/>
  <c r="J29" i="6" s="1"/>
  <c r="M45" i="6"/>
  <c r="J45" i="6" s="1"/>
  <c r="M22" i="6"/>
  <c r="J22" i="6" s="1"/>
  <c r="M24" i="6"/>
  <c r="J24" i="6" s="1"/>
  <c r="M39" i="6"/>
  <c r="J39" i="6" s="1"/>
  <c r="M37" i="6"/>
  <c r="J37" i="6" s="1"/>
  <c r="M42" i="6"/>
  <c r="J42" i="6" s="1"/>
  <c r="M18" i="6"/>
  <c r="J18" i="6" s="1"/>
  <c r="M21" i="6"/>
  <c r="J21" i="6" s="1"/>
  <c r="M43" i="6"/>
  <c r="J43" i="6" s="1"/>
  <c r="M16" i="6"/>
  <c r="J16" i="6" s="1"/>
  <c r="M31" i="6"/>
  <c r="J31" i="6" s="1"/>
  <c r="M51" i="6"/>
  <c r="J51" i="6" s="1"/>
  <c r="P8" i="6"/>
  <c r="M17" i="6"/>
  <c r="J17" i="6" s="1"/>
  <c r="M35" i="6"/>
  <c r="J35" i="6" s="1"/>
  <c r="M49" i="6"/>
  <c r="J49" i="6" s="1"/>
  <c r="M26" i="6"/>
  <c r="J26" i="6" s="1"/>
  <c r="M36" i="6"/>
  <c r="J36" i="6" s="1"/>
  <c r="J73" i="6"/>
  <c r="M20" i="6"/>
  <c r="J20" i="6" s="1"/>
  <c r="M33" i="6"/>
  <c r="J33" i="6" s="1"/>
  <c r="M44" i="6"/>
  <c r="J44" i="6" s="1"/>
  <c r="M48" i="6"/>
  <c r="J48" i="6" s="1"/>
  <c r="L12" i="6"/>
  <c r="M38" i="6"/>
  <c r="J38" i="6" s="1"/>
  <c r="M52" i="6"/>
  <c r="J52" i="6" s="1"/>
  <c r="M19" i="6"/>
  <c r="J19" i="6" s="1"/>
  <c r="M27" i="6"/>
  <c r="J27" i="6" s="1"/>
  <c r="M40" i="6"/>
  <c r="J40" i="6" s="1"/>
  <c r="M53" i="6"/>
  <c r="J53" i="6" s="1"/>
  <c r="M28" i="6"/>
  <c r="J28" i="6" s="1"/>
  <c r="M23" i="6"/>
  <c r="J23" i="6" s="1"/>
  <c r="M32" i="6"/>
  <c r="J32" i="6" s="1"/>
  <c r="M47" i="6"/>
  <c r="J47" i="6" s="1"/>
  <c r="M50" i="6"/>
  <c r="J50" i="6" s="1"/>
  <c r="M15" i="6"/>
  <c r="J15" i="6" s="1"/>
  <c r="M30" i="6"/>
  <c r="J30" i="6" s="1"/>
  <c r="M25" i="6"/>
  <c r="J25" i="6" s="1"/>
  <c r="M34" i="6"/>
  <c r="J34" i="6" s="1"/>
  <c r="M46" i="6"/>
  <c r="J46" i="6" s="1"/>
  <c r="D28" i="4"/>
  <c r="L7" i="6"/>
  <c r="L11" i="6"/>
  <c r="D18" i="4"/>
  <c r="D23" i="4" s="1"/>
  <c r="L14" i="6"/>
  <c r="L73" i="6" s="1"/>
  <c r="E163" i="5"/>
  <c r="E138" i="5"/>
  <c r="E171" i="5"/>
  <c r="N21" i="6"/>
  <c r="N45" i="6"/>
  <c r="N51" i="6"/>
  <c r="E137" i="5"/>
  <c r="N24" i="6"/>
  <c r="N29" i="6"/>
  <c r="E145" i="5"/>
  <c r="E143" i="5"/>
  <c r="E146" i="5"/>
  <c r="E142" i="5"/>
  <c r="E141" i="5"/>
  <c r="I12" i="5"/>
  <c r="L12" i="5" s="1"/>
  <c r="O12" i="5" s="1"/>
  <c r="F13" i="5"/>
  <c r="D12" i="6"/>
  <c r="B13" i="6"/>
  <c r="N54" i="6"/>
  <c r="N31" i="6"/>
  <c r="E136" i="5"/>
  <c r="N34" i="6"/>
  <c r="N27" i="6"/>
  <c r="N26" i="6"/>
  <c r="N36" i="6"/>
  <c r="N33" i="6"/>
  <c r="N46" i="6"/>
  <c r="N48" i="6"/>
  <c r="F73" i="6"/>
  <c r="H73" i="6" s="1"/>
  <c r="G73" i="6" s="1"/>
  <c r="AH73" i="6" s="1"/>
  <c r="AU73" i="6" s="1"/>
  <c r="N22" i="6"/>
  <c r="N23" i="6"/>
  <c r="N30" i="6"/>
  <c r="N25" i="6"/>
  <c r="N43" i="6"/>
  <c r="N28" i="6"/>
  <c r="N38" i="6"/>
  <c r="N44" i="6"/>
  <c r="N42" i="6"/>
  <c r="N37" i="6"/>
  <c r="N53" i="6"/>
  <c r="N47" i="6"/>
  <c r="E144" i="5"/>
  <c r="J54" i="6"/>
  <c r="E152" i="5"/>
  <c r="N20" i="6"/>
  <c r="N32" i="6"/>
  <c r="N40" i="6"/>
  <c r="N50" i="6"/>
  <c r="N52" i="6"/>
  <c r="AE68" i="6"/>
  <c r="AN68" i="6" s="1"/>
  <c r="AH68" i="6"/>
  <c r="AU68" i="6" s="1"/>
  <c r="N35" i="6"/>
  <c r="N41" i="6"/>
  <c r="N39" i="6"/>
  <c r="N49" i="6"/>
  <c r="K5" i="6"/>
  <c r="AH5" i="6"/>
  <c r="AU5" i="6" s="1"/>
  <c r="AE5" i="6"/>
  <c r="AN5" i="6" s="1"/>
  <c r="AE6" i="6" l="1"/>
  <c r="AN6" i="6" s="1"/>
  <c r="AP6" i="6" s="1"/>
  <c r="BC6" i="6" s="1"/>
  <c r="BK6" i="6" s="1"/>
  <c r="BP6" i="6" s="1"/>
  <c r="K6" i="6"/>
  <c r="AI6" i="6" s="1"/>
  <c r="AX6" i="6" s="1"/>
  <c r="AY6" i="6" s="1"/>
  <c r="BH6" i="6" s="1"/>
  <c r="BX6" i="6" s="1"/>
  <c r="CD6" i="6" s="1"/>
  <c r="O6" i="6"/>
  <c r="AJ6" i="6" s="1"/>
  <c r="AZ6" i="6" s="1"/>
  <c r="BA6" i="6" s="1"/>
  <c r="BI6" i="6" s="1"/>
  <c r="BY6" i="6" s="1"/>
  <c r="CF6" i="6" s="1"/>
  <c r="G7" i="6"/>
  <c r="K7" i="6" s="1"/>
  <c r="AI7" i="6" s="1"/>
  <c r="AX7" i="6" s="1"/>
  <c r="AY7" i="6" s="1"/>
  <c r="BH7" i="6" s="1"/>
  <c r="BX7" i="6" s="1"/>
  <c r="CD7" i="6" s="1"/>
  <c r="L49" i="6"/>
  <c r="K49" i="6" s="1"/>
  <c r="AI49" i="6" s="1"/>
  <c r="AX49" i="6" s="1"/>
  <c r="AY49" i="6" s="1"/>
  <c r="BH49" i="6" s="1"/>
  <c r="BX49" i="6" s="1"/>
  <c r="CD49" i="6" s="1"/>
  <c r="L26" i="6"/>
  <c r="K26" i="6" s="1"/>
  <c r="AI26" i="6" s="1"/>
  <c r="AX26" i="6" s="1"/>
  <c r="AY26" i="6" s="1"/>
  <c r="BH26" i="6" s="1"/>
  <c r="BX26" i="6" s="1"/>
  <c r="CD26" i="6" s="1"/>
  <c r="L35" i="6"/>
  <c r="K35" i="6" s="1"/>
  <c r="AF35" i="6" s="1"/>
  <c r="AQ35" i="6" s="1"/>
  <c r="AR35" i="6" s="1"/>
  <c r="BD35" i="6" s="1"/>
  <c r="BL35" i="6" s="1"/>
  <c r="BR35" i="6" s="1"/>
  <c r="L21" i="6"/>
  <c r="K21" i="6" s="1"/>
  <c r="AI21" i="6" s="1"/>
  <c r="AX21" i="6" s="1"/>
  <c r="AY21" i="6" s="1"/>
  <c r="BH21" i="6" s="1"/>
  <c r="BX21" i="6" s="1"/>
  <c r="CD21" i="6" s="1"/>
  <c r="L33" i="6"/>
  <c r="K33" i="6" s="1"/>
  <c r="AI33" i="6" s="1"/>
  <c r="AX33" i="6" s="1"/>
  <c r="AY33" i="6" s="1"/>
  <c r="BH33" i="6" s="1"/>
  <c r="BX33" i="6" s="1"/>
  <c r="CD33" i="6" s="1"/>
  <c r="L19" i="6"/>
  <c r="K19" i="6" s="1"/>
  <c r="AF19" i="6" s="1"/>
  <c r="AQ19" i="6" s="1"/>
  <c r="AR19" i="6" s="1"/>
  <c r="BD19" i="6" s="1"/>
  <c r="BL19" i="6" s="1"/>
  <c r="BR19" i="6" s="1"/>
  <c r="P36" i="6"/>
  <c r="O36" i="6" s="1"/>
  <c r="AJ36" i="6" s="1"/>
  <c r="AZ36" i="6" s="1"/>
  <c r="BA36" i="6" s="1"/>
  <c r="BI36" i="6" s="1"/>
  <c r="BY36" i="6" s="1"/>
  <c r="CF36" i="6" s="1"/>
  <c r="P53" i="6"/>
  <c r="O53" i="6" s="1"/>
  <c r="AJ53" i="6" s="1"/>
  <c r="AZ53" i="6" s="1"/>
  <c r="BA53" i="6" s="1"/>
  <c r="BI53" i="6" s="1"/>
  <c r="BY53" i="6" s="1"/>
  <c r="CF53" i="6" s="1"/>
  <c r="P51" i="6"/>
  <c r="O51" i="6" s="1"/>
  <c r="AJ51" i="6" s="1"/>
  <c r="AZ51" i="6" s="1"/>
  <c r="BA51" i="6" s="1"/>
  <c r="BI51" i="6" s="1"/>
  <c r="BY51" i="6" s="1"/>
  <c r="CF51" i="6" s="1"/>
  <c r="P43" i="6"/>
  <c r="O43" i="6" s="1"/>
  <c r="AG43" i="6" s="1"/>
  <c r="AS43" i="6" s="1"/>
  <c r="AT43" i="6" s="1"/>
  <c r="BE43" i="6" s="1"/>
  <c r="BM43" i="6" s="1"/>
  <c r="BT43" i="6" s="1"/>
  <c r="P45" i="6"/>
  <c r="O45" i="6" s="1"/>
  <c r="AG45" i="6" s="1"/>
  <c r="AS45" i="6" s="1"/>
  <c r="AT45" i="6" s="1"/>
  <c r="BE45" i="6" s="1"/>
  <c r="BM45" i="6" s="1"/>
  <c r="BT45" i="6" s="1"/>
  <c r="P29" i="6"/>
  <c r="O29" i="6" s="1"/>
  <c r="AJ29" i="6" s="1"/>
  <c r="AZ29" i="6" s="1"/>
  <c r="BA29" i="6" s="1"/>
  <c r="BI29" i="6" s="1"/>
  <c r="BY29" i="6" s="1"/>
  <c r="CF29" i="6" s="1"/>
  <c r="P26" i="6"/>
  <c r="O26" i="6" s="1"/>
  <c r="AG26" i="6" s="1"/>
  <c r="AS26" i="6" s="1"/>
  <c r="AT26" i="6" s="1"/>
  <c r="BE26" i="6" s="1"/>
  <c r="BM26" i="6" s="1"/>
  <c r="BT26" i="6" s="1"/>
  <c r="L17" i="6"/>
  <c r="K17" i="6" s="1"/>
  <c r="AF17" i="6" s="1"/>
  <c r="AQ17" i="6" s="1"/>
  <c r="AR17" i="6" s="1"/>
  <c r="BD17" i="6" s="1"/>
  <c r="BL17" i="6" s="1"/>
  <c r="BR17" i="6" s="1"/>
  <c r="P47" i="6"/>
  <c r="O47" i="6" s="1"/>
  <c r="AG47" i="6" s="1"/>
  <c r="AS47" i="6" s="1"/>
  <c r="AT47" i="6" s="1"/>
  <c r="BE47" i="6" s="1"/>
  <c r="BM47" i="6" s="1"/>
  <c r="BT47" i="6" s="1"/>
  <c r="L24" i="6"/>
  <c r="K24" i="6" s="1"/>
  <c r="AI24" i="6" s="1"/>
  <c r="AX24" i="6" s="1"/>
  <c r="AY24" i="6" s="1"/>
  <c r="BH24" i="6" s="1"/>
  <c r="BX24" i="6" s="1"/>
  <c r="CD24" i="6" s="1"/>
  <c r="P54" i="6"/>
  <c r="O54" i="6" s="1"/>
  <c r="AJ54" i="6" s="1"/>
  <c r="AZ54" i="6" s="1"/>
  <c r="BA54" i="6" s="1"/>
  <c r="BI54" i="6" s="1"/>
  <c r="BY54" i="6" s="1"/>
  <c r="CF54" i="6" s="1"/>
  <c r="L29" i="6"/>
  <c r="K29" i="6" s="1"/>
  <c r="AI29" i="6" s="1"/>
  <c r="AX29" i="6" s="1"/>
  <c r="AY29" i="6" s="1"/>
  <c r="BH29" i="6" s="1"/>
  <c r="BX29" i="6" s="1"/>
  <c r="CD29" i="6" s="1"/>
  <c r="L47" i="6"/>
  <c r="K47" i="6" s="1"/>
  <c r="AF47" i="6" s="1"/>
  <c r="AQ47" i="6" s="1"/>
  <c r="AR47" i="6" s="1"/>
  <c r="BD47" i="6" s="1"/>
  <c r="BL47" i="6" s="1"/>
  <c r="BR47" i="6" s="1"/>
  <c r="P38" i="6"/>
  <c r="O38" i="6" s="1"/>
  <c r="AG38" i="6" s="1"/>
  <c r="AS38" i="6" s="1"/>
  <c r="AT38" i="6" s="1"/>
  <c r="BE38" i="6" s="1"/>
  <c r="BM38" i="6" s="1"/>
  <c r="BT38" i="6" s="1"/>
  <c r="P24" i="6"/>
  <c r="O24" i="6" s="1"/>
  <c r="AJ24" i="6" s="1"/>
  <c r="AZ24" i="6" s="1"/>
  <c r="BA24" i="6" s="1"/>
  <c r="BI24" i="6" s="1"/>
  <c r="BY24" i="6" s="1"/>
  <c r="CF24" i="6" s="1"/>
  <c r="P27" i="6"/>
  <c r="O27" i="6" s="1"/>
  <c r="AJ27" i="6" s="1"/>
  <c r="AZ27" i="6" s="1"/>
  <c r="BA27" i="6" s="1"/>
  <c r="BI27" i="6" s="1"/>
  <c r="BY27" i="6" s="1"/>
  <c r="CF27" i="6" s="1"/>
  <c r="L45" i="6"/>
  <c r="K45" i="6" s="1"/>
  <c r="L52" i="6"/>
  <c r="K52" i="6" s="1"/>
  <c r="AI52" i="6" s="1"/>
  <c r="AX52" i="6" s="1"/>
  <c r="AY52" i="6" s="1"/>
  <c r="BH52" i="6" s="1"/>
  <c r="BX52" i="6" s="1"/>
  <c r="CD52" i="6" s="1"/>
  <c r="L44" i="6"/>
  <c r="K44" i="6" s="1"/>
  <c r="AF44" i="6" s="1"/>
  <c r="AQ44" i="6" s="1"/>
  <c r="AR44" i="6" s="1"/>
  <c r="BD44" i="6" s="1"/>
  <c r="BL44" i="6" s="1"/>
  <c r="BR44" i="6" s="1"/>
  <c r="P33" i="6"/>
  <c r="O33" i="6" s="1"/>
  <c r="AG33" i="6" s="1"/>
  <c r="AS33" i="6" s="1"/>
  <c r="AT33" i="6" s="1"/>
  <c r="BE33" i="6" s="1"/>
  <c r="BM33" i="6" s="1"/>
  <c r="BT33" i="6" s="1"/>
  <c r="L28" i="6"/>
  <c r="K28" i="6" s="1"/>
  <c r="AF28" i="6" s="1"/>
  <c r="AQ28" i="6" s="1"/>
  <c r="AR28" i="6" s="1"/>
  <c r="BD28" i="6" s="1"/>
  <c r="BL28" i="6" s="1"/>
  <c r="BR28" i="6" s="1"/>
  <c r="P40" i="6"/>
  <c r="O40" i="6" s="1"/>
  <c r="L40" i="6"/>
  <c r="K40" i="6" s="1"/>
  <c r="P44" i="6"/>
  <c r="O44" i="6" s="1"/>
  <c r="AG44" i="6" s="1"/>
  <c r="AS44" i="6" s="1"/>
  <c r="AT44" i="6" s="1"/>
  <c r="BE44" i="6" s="1"/>
  <c r="BM44" i="6" s="1"/>
  <c r="BT44" i="6" s="1"/>
  <c r="P49" i="6"/>
  <c r="O49" i="6" s="1"/>
  <c r="AG49" i="6" s="1"/>
  <c r="AS49" i="6" s="1"/>
  <c r="AT49" i="6" s="1"/>
  <c r="BE49" i="6" s="1"/>
  <c r="BM49" i="6" s="1"/>
  <c r="BT49" i="6" s="1"/>
  <c r="AW73" i="6"/>
  <c r="BG73" i="6" s="1"/>
  <c r="AV73" i="6"/>
  <c r="BF73" i="6" s="1"/>
  <c r="D25" i="4" s="1"/>
  <c r="L16" i="6"/>
  <c r="K16" i="6" s="1"/>
  <c r="L15" i="6"/>
  <c r="K15" i="6" s="1"/>
  <c r="L48" i="6"/>
  <c r="K48" i="6" s="1"/>
  <c r="P37" i="6"/>
  <c r="O37" i="6" s="1"/>
  <c r="I13" i="5"/>
  <c r="L13" i="5" s="1"/>
  <c r="O13" i="5" s="1"/>
  <c r="F14" i="5"/>
  <c r="L38" i="6"/>
  <c r="K38" i="6" s="1"/>
  <c r="L30" i="6"/>
  <c r="K30" i="6" s="1"/>
  <c r="P22" i="6"/>
  <c r="O22" i="6" s="1"/>
  <c r="L42" i="6"/>
  <c r="K42" i="6" s="1"/>
  <c r="L41" i="6"/>
  <c r="K41" i="6" s="1"/>
  <c r="E158" i="5"/>
  <c r="O5" i="6"/>
  <c r="AF5" i="6"/>
  <c r="AQ5" i="6" s="1"/>
  <c r="AR5" i="6" s="1"/>
  <c r="BD5" i="6" s="1"/>
  <c r="BL5" i="6" s="1"/>
  <c r="BR5" i="6" s="1"/>
  <c r="BS5" i="6" s="1"/>
  <c r="AI5" i="6"/>
  <c r="AX5" i="6" s="1"/>
  <c r="AY5" i="6" s="1"/>
  <c r="BH5" i="6" s="1"/>
  <c r="BX5" i="6" s="1"/>
  <c r="CD5" i="6" s="1"/>
  <c r="CE5" i="6" s="1"/>
  <c r="AW6" i="6"/>
  <c r="BG6" i="6" s="1"/>
  <c r="BW6" i="6" s="1"/>
  <c r="CB6" i="6" s="1"/>
  <c r="AV6" i="6"/>
  <c r="BF6" i="6" s="1"/>
  <c r="P28" i="6"/>
  <c r="O28" i="6" s="1"/>
  <c r="P50" i="6"/>
  <c r="O50" i="6" s="1"/>
  <c r="AV68" i="6"/>
  <c r="BF68" i="6" s="1"/>
  <c r="BV68" i="6" s="1"/>
  <c r="AW68" i="6"/>
  <c r="BG68" i="6" s="1"/>
  <c r="BW68" i="6" s="1"/>
  <c r="CB68" i="6" s="1"/>
  <c r="L39" i="6"/>
  <c r="K39" i="6" s="1"/>
  <c r="P21" i="6"/>
  <c r="O21" i="6" s="1"/>
  <c r="P20" i="6"/>
  <c r="O20" i="6" s="1"/>
  <c r="E148" i="5"/>
  <c r="E155" i="5"/>
  <c r="P25" i="6"/>
  <c r="O25" i="6" s="1"/>
  <c r="P35" i="6"/>
  <c r="O35" i="6" s="1"/>
  <c r="P32" i="6"/>
  <c r="O32" i="6" s="1"/>
  <c r="E153" i="5"/>
  <c r="L54" i="6"/>
  <c r="K54" i="6" s="1"/>
  <c r="L20" i="6"/>
  <c r="K20" i="6" s="1"/>
  <c r="L37" i="6"/>
  <c r="K37" i="6" s="1"/>
  <c r="L32" i="6"/>
  <c r="K32" i="6" s="1"/>
  <c r="E156" i="5"/>
  <c r="P23" i="6"/>
  <c r="O23" i="6" s="1"/>
  <c r="AF6" i="6"/>
  <c r="AQ6" i="6" s="1"/>
  <c r="AR6" i="6" s="1"/>
  <c r="BD6" i="6" s="1"/>
  <c r="BL6" i="6" s="1"/>
  <c r="BR6" i="6" s="1"/>
  <c r="E149" i="5"/>
  <c r="E183" i="5"/>
  <c r="E175" i="5"/>
  <c r="AO68" i="6"/>
  <c r="BB68" i="6" s="1"/>
  <c r="BJ68" i="6" s="1"/>
  <c r="BN68" i="6" s="1"/>
  <c r="AP68" i="6"/>
  <c r="BC68" i="6" s="1"/>
  <c r="BK68" i="6" s="1"/>
  <c r="BP68" i="6" s="1"/>
  <c r="AO5" i="6"/>
  <c r="BB5" i="6" s="1"/>
  <c r="AP5" i="6"/>
  <c r="BC5" i="6" s="1"/>
  <c r="BK5" i="6" s="1"/>
  <c r="BP5" i="6" s="1"/>
  <c r="BQ5" i="6" s="1"/>
  <c r="E164" i="5"/>
  <c r="L43" i="6"/>
  <c r="K43" i="6" s="1"/>
  <c r="L53" i="6"/>
  <c r="K53" i="6" s="1"/>
  <c r="L34" i="6"/>
  <c r="K34" i="6" s="1"/>
  <c r="AW5" i="6"/>
  <c r="BG5" i="6" s="1"/>
  <c r="BW5" i="6" s="1"/>
  <c r="CB5" i="6" s="1"/>
  <c r="CC5" i="6" s="1"/>
  <c r="AV5" i="6"/>
  <c r="BF5" i="6" s="1"/>
  <c r="I45" i="2" s="1"/>
  <c r="I44" i="2" s="1"/>
  <c r="L25" i="6"/>
  <c r="K25" i="6" s="1"/>
  <c r="P42" i="6"/>
  <c r="O42" i="6" s="1"/>
  <c r="L23" i="6"/>
  <c r="K23" i="6" s="1"/>
  <c r="P41" i="6"/>
  <c r="O41" i="6" s="1"/>
  <c r="P48" i="6"/>
  <c r="O48" i="6" s="1"/>
  <c r="E154" i="5"/>
  <c r="E157" i="5"/>
  <c r="P52" i="6"/>
  <c r="O52" i="6" s="1"/>
  <c r="E150" i="5"/>
  <c r="L31" i="6"/>
  <c r="K31" i="6" s="1"/>
  <c r="P39" i="6"/>
  <c r="O39" i="6" s="1"/>
  <c r="P31" i="6"/>
  <c r="O31" i="6" s="1"/>
  <c r="L51" i="6"/>
  <c r="K51" i="6" s="1"/>
  <c r="P34" i="6"/>
  <c r="O34" i="6" s="1"/>
  <c r="L27" i="6"/>
  <c r="K27" i="6" s="1"/>
  <c r="L22" i="6"/>
  <c r="K22" i="6" s="1"/>
  <c r="D13" i="6"/>
  <c r="B14" i="6"/>
  <c r="L46" i="6"/>
  <c r="K46" i="6" s="1"/>
  <c r="P30" i="6"/>
  <c r="O30" i="6" s="1"/>
  <c r="L36" i="6"/>
  <c r="K36" i="6" s="1"/>
  <c r="P46" i="6"/>
  <c r="O46" i="6" s="1"/>
  <c r="L50" i="6"/>
  <c r="K50" i="6" s="1"/>
  <c r="L18" i="6"/>
  <c r="K18" i="6" s="1"/>
  <c r="AO6" i="6" l="1"/>
  <c r="BB6" i="6" s="1"/>
  <c r="BJ6" i="6" s="1"/>
  <c r="BN6" i="6" s="1"/>
  <c r="AG6" i="6"/>
  <c r="AS6" i="6" s="1"/>
  <c r="AT6" i="6" s="1"/>
  <c r="BE6" i="6" s="1"/>
  <c r="BM6" i="6" s="1"/>
  <c r="BT6" i="6" s="1"/>
  <c r="AF7" i="6"/>
  <c r="AQ7" i="6" s="1"/>
  <c r="AR7" i="6" s="1"/>
  <c r="BD7" i="6" s="1"/>
  <c r="BL7" i="6" s="1"/>
  <c r="BR7" i="6" s="1"/>
  <c r="O7" i="6"/>
  <c r="AJ7" i="6" s="1"/>
  <c r="AZ7" i="6" s="1"/>
  <c r="BA7" i="6" s="1"/>
  <c r="BI7" i="6" s="1"/>
  <c r="BY7" i="6" s="1"/>
  <c r="CF7" i="6" s="1"/>
  <c r="AH7" i="6"/>
  <c r="AU7" i="6" s="1"/>
  <c r="AV7" i="6" s="1"/>
  <c r="BF7" i="6" s="1"/>
  <c r="DA7" i="6" s="1"/>
  <c r="AE7" i="6"/>
  <c r="AN7" i="6" s="1"/>
  <c r="AP7" i="6" s="1"/>
  <c r="BC7" i="6" s="1"/>
  <c r="BK7" i="6" s="1"/>
  <c r="BP7" i="6" s="1"/>
  <c r="G8" i="6"/>
  <c r="O8" i="6" s="1"/>
  <c r="AJ8" i="6" s="1"/>
  <c r="AZ8" i="6" s="1"/>
  <c r="BA8" i="6" s="1"/>
  <c r="BI8" i="6" s="1"/>
  <c r="BY8" i="6" s="1"/>
  <c r="CF8" i="6" s="1"/>
  <c r="AI35" i="6"/>
  <c r="AX35" i="6" s="1"/>
  <c r="AY35" i="6" s="1"/>
  <c r="BH35" i="6" s="1"/>
  <c r="BX35" i="6" s="1"/>
  <c r="CD35" i="6" s="1"/>
  <c r="AG53" i="6"/>
  <c r="AS53" i="6" s="1"/>
  <c r="AT53" i="6" s="1"/>
  <c r="BE53" i="6" s="1"/>
  <c r="BM53" i="6" s="1"/>
  <c r="BT53" i="6" s="1"/>
  <c r="AI19" i="6"/>
  <c r="AX19" i="6" s="1"/>
  <c r="AY19" i="6" s="1"/>
  <c r="BH19" i="6" s="1"/>
  <c r="BX19" i="6" s="1"/>
  <c r="CD19" i="6" s="1"/>
  <c r="AF49" i="6"/>
  <c r="AQ49" i="6" s="1"/>
  <c r="AR49" i="6" s="1"/>
  <c r="BD49" i="6" s="1"/>
  <c r="BL49" i="6" s="1"/>
  <c r="BR49" i="6" s="1"/>
  <c r="AF26" i="6"/>
  <c r="AQ26" i="6" s="1"/>
  <c r="AR26" i="6" s="1"/>
  <c r="BD26" i="6" s="1"/>
  <c r="BL26" i="6" s="1"/>
  <c r="BR26" i="6" s="1"/>
  <c r="AF21" i="6"/>
  <c r="AQ21" i="6" s="1"/>
  <c r="AR21" i="6" s="1"/>
  <c r="BD21" i="6" s="1"/>
  <c r="BL21" i="6" s="1"/>
  <c r="BR21" i="6" s="1"/>
  <c r="AG51" i="6"/>
  <c r="AS51" i="6" s="1"/>
  <c r="AT51" i="6" s="1"/>
  <c r="BE51" i="6" s="1"/>
  <c r="BM51" i="6" s="1"/>
  <c r="BT51" i="6" s="1"/>
  <c r="AF33" i="6"/>
  <c r="AQ33" i="6" s="1"/>
  <c r="AR33" i="6" s="1"/>
  <c r="BD33" i="6" s="1"/>
  <c r="BL33" i="6" s="1"/>
  <c r="BR33" i="6" s="1"/>
  <c r="AJ43" i="6"/>
  <c r="AZ43" i="6" s="1"/>
  <c r="BA43" i="6" s="1"/>
  <c r="BI43" i="6" s="1"/>
  <c r="BY43" i="6" s="1"/>
  <c r="CF43" i="6" s="1"/>
  <c r="AF29" i="6"/>
  <c r="AQ29" i="6" s="1"/>
  <c r="AR29" i="6" s="1"/>
  <c r="BD29" i="6" s="1"/>
  <c r="BL29" i="6" s="1"/>
  <c r="BR29" i="6" s="1"/>
  <c r="AG36" i="6"/>
  <c r="AS36" i="6" s="1"/>
  <c r="AT36" i="6" s="1"/>
  <c r="BE36" i="6" s="1"/>
  <c r="BM36" i="6" s="1"/>
  <c r="BT36" i="6" s="1"/>
  <c r="AI17" i="6"/>
  <c r="AX17" i="6" s="1"/>
  <c r="AY17" i="6" s="1"/>
  <c r="BH17" i="6" s="1"/>
  <c r="BX17" i="6" s="1"/>
  <c r="CD17" i="6" s="1"/>
  <c r="AF24" i="6"/>
  <c r="AQ24" i="6" s="1"/>
  <c r="AR24" i="6" s="1"/>
  <c r="BD24" i="6" s="1"/>
  <c r="BL24" i="6" s="1"/>
  <c r="BR24" i="6" s="1"/>
  <c r="AJ49" i="6"/>
  <c r="AZ49" i="6" s="1"/>
  <c r="BA49" i="6" s="1"/>
  <c r="BI49" i="6" s="1"/>
  <c r="BY49" i="6" s="1"/>
  <c r="CF49" i="6" s="1"/>
  <c r="AJ26" i="6"/>
  <c r="AZ26" i="6" s="1"/>
  <c r="BA26" i="6" s="1"/>
  <c r="BI26" i="6" s="1"/>
  <c r="BY26" i="6" s="1"/>
  <c r="CF26" i="6" s="1"/>
  <c r="AJ47" i="6"/>
  <c r="AZ47" i="6" s="1"/>
  <c r="BA47" i="6" s="1"/>
  <c r="BI47" i="6" s="1"/>
  <c r="BY47" i="6" s="1"/>
  <c r="CF47" i="6" s="1"/>
  <c r="AJ45" i="6"/>
  <c r="AZ45" i="6" s="1"/>
  <c r="BA45" i="6" s="1"/>
  <c r="BI45" i="6" s="1"/>
  <c r="BY45" i="6" s="1"/>
  <c r="CF45" i="6" s="1"/>
  <c r="AG29" i="6"/>
  <c r="AS29" i="6" s="1"/>
  <c r="AT29" i="6" s="1"/>
  <c r="BE29" i="6" s="1"/>
  <c r="BM29" i="6" s="1"/>
  <c r="BT29" i="6" s="1"/>
  <c r="AI44" i="6"/>
  <c r="AX44" i="6" s="1"/>
  <c r="AY44" i="6" s="1"/>
  <c r="BH44" i="6" s="1"/>
  <c r="BX44" i="6" s="1"/>
  <c r="CD44" i="6" s="1"/>
  <c r="AF52" i="6"/>
  <c r="AQ52" i="6" s="1"/>
  <c r="AR52" i="6" s="1"/>
  <c r="BD52" i="6" s="1"/>
  <c r="BL52" i="6" s="1"/>
  <c r="BR52" i="6" s="1"/>
  <c r="AG54" i="6"/>
  <c r="AS54" i="6" s="1"/>
  <c r="AT54" i="6" s="1"/>
  <c r="BE54" i="6" s="1"/>
  <c r="BM54" i="6" s="1"/>
  <c r="BT54" i="6" s="1"/>
  <c r="AI28" i="6"/>
  <c r="AX28" i="6" s="1"/>
  <c r="AY28" i="6" s="1"/>
  <c r="BH28" i="6" s="1"/>
  <c r="BX28" i="6" s="1"/>
  <c r="CD28" i="6" s="1"/>
  <c r="AI47" i="6"/>
  <c r="AX47" i="6" s="1"/>
  <c r="AY47" i="6" s="1"/>
  <c r="BH47" i="6" s="1"/>
  <c r="BX47" i="6" s="1"/>
  <c r="CD47" i="6" s="1"/>
  <c r="AJ38" i="6"/>
  <c r="AZ38" i="6" s="1"/>
  <c r="BA38" i="6" s="1"/>
  <c r="BI38" i="6" s="1"/>
  <c r="BY38" i="6" s="1"/>
  <c r="CF38" i="6" s="1"/>
  <c r="AJ33" i="6"/>
  <c r="AZ33" i="6" s="1"/>
  <c r="BA33" i="6" s="1"/>
  <c r="BI33" i="6" s="1"/>
  <c r="BY33" i="6" s="1"/>
  <c r="CF33" i="6" s="1"/>
  <c r="AG27" i="6"/>
  <c r="AS27" i="6" s="1"/>
  <c r="AT27" i="6" s="1"/>
  <c r="BE27" i="6" s="1"/>
  <c r="BM27" i="6" s="1"/>
  <c r="BT27" i="6" s="1"/>
  <c r="AG24" i="6"/>
  <c r="AS24" i="6" s="1"/>
  <c r="AT24" i="6" s="1"/>
  <c r="BE24" i="6" s="1"/>
  <c r="BM24" i="6" s="1"/>
  <c r="BT24" i="6" s="1"/>
  <c r="CC6" i="6"/>
  <c r="AF45" i="6"/>
  <c r="AQ45" i="6" s="1"/>
  <c r="AR45" i="6" s="1"/>
  <c r="BD45" i="6" s="1"/>
  <c r="BL45" i="6" s="1"/>
  <c r="BR45" i="6" s="1"/>
  <c r="AI45" i="6"/>
  <c r="AX45" i="6" s="1"/>
  <c r="AY45" i="6" s="1"/>
  <c r="BH45" i="6" s="1"/>
  <c r="BX45" i="6" s="1"/>
  <c r="CD45" i="6" s="1"/>
  <c r="AG40" i="6"/>
  <c r="AS40" i="6" s="1"/>
  <c r="AT40" i="6" s="1"/>
  <c r="BE40" i="6" s="1"/>
  <c r="BM40" i="6" s="1"/>
  <c r="BT40" i="6" s="1"/>
  <c r="AF40" i="6"/>
  <c r="AQ40" i="6" s="1"/>
  <c r="AR40" i="6" s="1"/>
  <c r="BD40" i="6" s="1"/>
  <c r="BL40" i="6" s="1"/>
  <c r="BR40" i="6" s="1"/>
  <c r="AJ40" i="6"/>
  <c r="AZ40" i="6" s="1"/>
  <c r="BA40" i="6" s="1"/>
  <c r="BI40" i="6" s="1"/>
  <c r="BY40" i="6" s="1"/>
  <c r="CF40" i="6" s="1"/>
  <c r="AJ44" i="6"/>
  <c r="AZ44" i="6" s="1"/>
  <c r="BA44" i="6" s="1"/>
  <c r="BI44" i="6" s="1"/>
  <c r="BY44" i="6" s="1"/>
  <c r="CF44" i="6" s="1"/>
  <c r="AI40" i="6"/>
  <c r="AX40" i="6" s="1"/>
  <c r="AY40" i="6" s="1"/>
  <c r="BH40" i="6" s="1"/>
  <c r="BX40" i="6" s="1"/>
  <c r="CD40" i="6" s="1"/>
  <c r="CE6" i="6"/>
  <c r="CE7" i="6" s="1"/>
  <c r="AG31" i="6"/>
  <c r="AS31" i="6" s="1"/>
  <c r="AT31" i="6" s="1"/>
  <c r="BE31" i="6" s="1"/>
  <c r="BM31" i="6" s="1"/>
  <c r="BT31" i="6" s="1"/>
  <c r="AJ31" i="6"/>
  <c r="AZ31" i="6" s="1"/>
  <c r="BA31" i="6" s="1"/>
  <c r="BI31" i="6" s="1"/>
  <c r="BY31" i="6" s="1"/>
  <c r="CF31" i="6" s="1"/>
  <c r="C34" i="2"/>
  <c r="G44" i="2" s="1"/>
  <c r="BJ5" i="6"/>
  <c r="BN5" i="6" s="1"/>
  <c r="BO5" i="6" s="1"/>
  <c r="CJ5" i="6"/>
  <c r="AJ50" i="6"/>
  <c r="AZ50" i="6" s="1"/>
  <c r="BA50" i="6" s="1"/>
  <c r="BI50" i="6" s="1"/>
  <c r="BY50" i="6" s="1"/>
  <c r="CF50" i="6" s="1"/>
  <c r="AG50" i="6"/>
  <c r="AS50" i="6" s="1"/>
  <c r="AT50" i="6" s="1"/>
  <c r="BE50" i="6" s="1"/>
  <c r="BM50" i="6" s="1"/>
  <c r="BT50" i="6" s="1"/>
  <c r="AJ41" i="6"/>
  <c r="AZ41" i="6" s="1"/>
  <c r="BA41" i="6" s="1"/>
  <c r="BI41" i="6" s="1"/>
  <c r="BY41" i="6" s="1"/>
  <c r="CF41" i="6" s="1"/>
  <c r="AG41" i="6"/>
  <c r="AS41" i="6" s="1"/>
  <c r="AT41" i="6" s="1"/>
  <c r="BE41" i="6" s="1"/>
  <c r="BM41" i="6" s="1"/>
  <c r="BT41" i="6" s="1"/>
  <c r="E165" i="5"/>
  <c r="AJ28" i="6"/>
  <c r="AZ28" i="6" s="1"/>
  <c r="BA28" i="6" s="1"/>
  <c r="BI28" i="6" s="1"/>
  <c r="BY28" i="6" s="1"/>
  <c r="CF28" i="6" s="1"/>
  <c r="AG28" i="6"/>
  <c r="AS28" i="6" s="1"/>
  <c r="AT28" i="6" s="1"/>
  <c r="BE28" i="6" s="1"/>
  <c r="BM28" i="6" s="1"/>
  <c r="BT28" i="6" s="1"/>
  <c r="AG22" i="6"/>
  <c r="AS22" i="6" s="1"/>
  <c r="AT22" i="6" s="1"/>
  <c r="BE22" i="6" s="1"/>
  <c r="BM22" i="6" s="1"/>
  <c r="BT22" i="6" s="1"/>
  <c r="AJ22" i="6"/>
  <c r="AZ22" i="6" s="1"/>
  <c r="BA22" i="6" s="1"/>
  <c r="BI22" i="6" s="1"/>
  <c r="BY22" i="6" s="1"/>
  <c r="CF22" i="6" s="1"/>
  <c r="AI16" i="6"/>
  <c r="AX16" i="6" s="1"/>
  <c r="AY16" i="6" s="1"/>
  <c r="BH16" i="6" s="1"/>
  <c r="BX16" i="6" s="1"/>
  <c r="CD16" i="6" s="1"/>
  <c r="AF16" i="6"/>
  <c r="AQ16" i="6" s="1"/>
  <c r="AR16" i="6" s="1"/>
  <c r="BD16" i="6" s="1"/>
  <c r="BL16" i="6" s="1"/>
  <c r="BR16" i="6" s="1"/>
  <c r="BS6" i="6"/>
  <c r="E162" i="5"/>
  <c r="AF34" i="6"/>
  <c r="AQ34" i="6" s="1"/>
  <c r="AR34" i="6" s="1"/>
  <c r="BD34" i="6" s="1"/>
  <c r="BL34" i="6" s="1"/>
  <c r="BR34" i="6" s="1"/>
  <c r="AI34" i="6"/>
  <c r="AX34" i="6" s="1"/>
  <c r="AY34" i="6" s="1"/>
  <c r="BH34" i="6" s="1"/>
  <c r="BX34" i="6" s="1"/>
  <c r="CD34" i="6" s="1"/>
  <c r="AG32" i="6"/>
  <c r="AS32" i="6" s="1"/>
  <c r="AT32" i="6" s="1"/>
  <c r="BE32" i="6" s="1"/>
  <c r="BM32" i="6" s="1"/>
  <c r="BT32" i="6" s="1"/>
  <c r="AJ32" i="6"/>
  <c r="AZ32" i="6" s="1"/>
  <c r="BA32" i="6" s="1"/>
  <c r="BI32" i="6" s="1"/>
  <c r="BY32" i="6" s="1"/>
  <c r="CF32" i="6" s="1"/>
  <c r="DA6" i="6"/>
  <c r="BV6" i="6"/>
  <c r="BZ6" i="6" s="1"/>
  <c r="E170" i="5"/>
  <c r="AF30" i="6"/>
  <c r="AQ30" i="6" s="1"/>
  <c r="AR30" i="6" s="1"/>
  <c r="BD30" i="6" s="1"/>
  <c r="BL30" i="6" s="1"/>
  <c r="BR30" i="6" s="1"/>
  <c r="AI30" i="6"/>
  <c r="AX30" i="6" s="1"/>
  <c r="AY30" i="6" s="1"/>
  <c r="BH30" i="6" s="1"/>
  <c r="BX30" i="6" s="1"/>
  <c r="CD30" i="6" s="1"/>
  <c r="E25" i="4"/>
  <c r="D26" i="4"/>
  <c r="H25" i="4"/>
  <c r="H26" i="4" s="1"/>
  <c r="AG52" i="6"/>
  <c r="AS52" i="6" s="1"/>
  <c r="AT52" i="6" s="1"/>
  <c r="BE52" i="6" s="1"/>
  <c r="BM52" i="6" s="1"/>
  <c r="BT52" i="6" s="1"/>
  <c r="AJ52" i="6"/>
  <c r="AZ52" i="6" s="1"/>
  <c r="BA52" i="6" s="1"/>
  <c r="BI52" i="6" s="1"/>
  <c r="BY52" i="6" s="1"/>
  <c r="CF52" i="6" s="1"/>
  <c r="AG42" i="6"/>
  <c r="AS42" i="6" s="1"/>
  <c r="AT42" i="6" s="1"/>
  <c r="BE42" i="6" s="1"/>
  <c r="BM42" i="6" s="1"/>
  <c r="BT42" i="6" s="1"/>
  <c r="AJ42" i="6"/>
  <c r="AZ42" i="6" s="1"/>
  <c r="BA42" i="6" s="1"/>
  <c r="BI42" i="6" s="1"/>
  <c r="BY42" i="6" s="1"/>
  <c r="CF42" i="6" s="1"/>
  <c r="AF53" i="6"/>
  <c r="AQ53" i="6" s="1"/>
  <c r="AR53" i="6" s="1"/>
  <c r="BD53" i="6" s="1"/>
  <c r="BL53" i="6" s="1"/>
  <c r="BR53" i="6" s="1"/>
  <c r="AI53" i="6"/>
  <c r="AX53" i="6" s="1"/>
  <c r="AY53" i="6" s="1"/>
  <c r="BH53" i="6" s="1"/>
  <c r="BX53" i="6" s="1"/>
  <c r="CD53" i="6" s="1"/>
  <c r="AJ35" i="6"/>
  <c r="AZ35" i="6" s="1"/>
  <c r="BA35" i="6" s="1"/>
  <c r="BI35" i="6" s="1"/>
  <c r="BY35" i="6" s="1"/>
  <c r="CF35" i="6" s="1"/>
  <c r="AG35" i="6"/>
  <c r="AS35" i="6" s="1"/>
  <c r="AT35" i="6" s="1"/>
  <c r="BE35" i="6" s="1"/>
  <c r="BM35" i="6" s="1"/>
  <c r="BT35" i="6" s="1"/>
  <c r="AG20" i="6"/>
  <c r="AS20" i="6" s="1"/>
  <c r="AT20" i="6" s="1"/>
  <c r="BE20" i="6" s="1"/>
  <c r="BM20" i="6" s="1"/>
  <c r="BT20" i="6" s="1"/>
  <c r="AJ20" i="6"/>
  <c r="AZ20" i="6" s="1"/>
  <c r="BA20" i="6" s="1"/>
  <c r="BI20" i="6" s="1"/>
  <c r="BY20" i="6" s="1"/>
  <c r="CF20" i="6" s="1"/>
  <c r="AF38" i="6"/>
  <c r="AQ38" i="6" s="1"/>
  <c r="AR38" i="6" s="1"/>
  <c r="BD38" i="6" s="1"/>
  <c r="BL38" i="6" s="1"/>
  <c r="BR38" i="6" s="1"/>
  <c r="AI38" i="6"/>
  <c r="AX38" i="6" s="1"/>
  <c r="AY38" i="6" s="1"/>
  <c r="BH38" i="6" s="1"/>
  <c r="BX38" i="6" s="1"/>
  <c r="CD38" i="6" s="1"/>
  <c r="AJ48" i="6"/>
  <c r="AZ48" i="6" s="1"/>
  <c r="BA48" i="6" s="1"/>
  <c r="BI48" i="6" s="1"/>
  <c r="BY48" i="6" s="1"/>
  <c r="CF48" i="6" s="1"/>
  <c r="AG48" i="6"/>
  <c r="AS48" i="6" s="1"/>
  <c r="AT48" i="6" s="1"/>
  <c r="BE48" i="6" s="1"/>
  <c r="BM48" i="6" s="1"/>
  <c r="BT48" i="6" s="1"/>
  <c r="AI46" i="6"/>
  <c r="AX46" i="6" s="1"/>
  <c r="AY46" i="6" s="1"/>
  <c r="BH46" i="6" s="1"/>
  <c r="BX46" i="6" s="1"/>
  <c r="CD46" i="6" s="1"/>
  <c r="AF46" i="6"/>
  <c r="AQ46" i="6" s="1"/>
  <c r="AR46" i="6" s="1"/>
  <c r="BD46" i="6" s="1"/>
  <c r="BL46" i="6" s="1"/>
  <c r="BR46" i="6" s="1"/>
  <c r="AF31" i="6"/>
  <c r="AQ31" i="6" s="1"/>
  <c r="AR31" i="6" s="1"/>
  <c r="BD31" i="6" s="1"/>
  <c r="BL31" i="6" s="1"/>
  <c r="BR31" i="6" s="1"/>
  <c r="AI31" i="6"/>
  <c r="AX31" i="6" s="1"/>
  <c r="AY31" i="6" s="1"/>
  <c r="BH31" i="6" s="1"/>
  <c r="BX31" i="6" s="1"/>
  <c r="CD31" i="6" s="1"/>
  <c r="AF23" i="6"/>
  <c r="AQ23" i="6" s="1"/>
  <c r="AR23" i="6" s="1"/>
  <c r="BD23" i="6" s="1"/>
  <c r="BL23" i="6" s="1"/>
  <c r="BR23" i="6" s="1"/>
  <c r="AI23" i="6"/>
  <c r="AX23" i="6" s="1"/>
  <c r="AY23" i="6" s="1"/>
  <c r="BH23" i="6" s="1"/>
  <c r="BX23" i="6" s="1"/>
  <c r="CD23" i="6" s="1"/>
  <c r="AI18" i="6"/>
  <c r="AX18" i="6" s="1"/>
  <c r="AY18" i="6" s="1"/>
  <c r="BH18" i="6" s="1"/>
  <c r="BX18" i="6" s="1"/>
  <c r="CD18" i="6" s="1"/>
  <c r="AF18" i="6"/>
  <c r="AQ18" i="6" s="1"/>
  <c r="AR18" i="6" s="1"/>
  <c r="BD18" i="6" s="1"/>
  <c r="BL18" i="6" s="1"/>
  <c r="BR18" i="6" s="1"/>
  <c r="AI22" i="6"/>
  <c r="AX22" i="6" s="1"/>
  <c r="AY22" i="6" s="1"/>
  <c r="BH22" i="6" s="1"/>
  <c r="BX22" i="6" s="1"/>
  <c r="CD22" i="6" s="1"/>
  <c r="AF22" i="6"/>
  <c r="AQ22" i="6" s="1"/>
  <c r="AR22" i="6" s="1"/>
  <c r="BD22" i="6" s="1"/>
  <c r="BL22" i="6" s="1"/>
  <c r="BR22" i="6" s="1"/>
  <c r="E169" i="5"/>
  <c r="AF25" i="6"/>
  <c r="AQ25" i="6" s="1"/>
  <c r="AR25" i="6" s="1"/>
  <c r="BD25" i="6" s="1"/>
  <c r="BL25" i="6" s="1"/>
  <c r="BR25" i="6" s="1"/>
  <c r="AI25" i="6"/>
  <c r="AX25" i="6" s="1"/>
  <c r="AY25" i="6" s="1"/>
  <c r="BH25" i="6" s="1"/>
  <c r="BX25" i="6" s="1"/>
  <c r="CD25" i="6" s="1"/>
  <c r="AI43" i="6"/>
  <c r="AX43" i="6" s="1"/>
  <c r="AY43" i="6" s="1"/>
  <c r="BH43" i="6" s="1"/>
  <c r="BX43" i="6" s="1"/>
  <c r="CD43" i="6" s="1"/>
  <c r="AF43" i="6"/>
  <c r="AQ43" i="6" s="1"/>
  <c r="AR43" i="6" s="1"/>
  <c r="BD43" i="6" s="1"/>
  <c r="BL43" i="6" s="1"/>
  <c r="BR43" i="6" s="1"/>
  <c r="E187" i="5"/>
  <c r="AJ25" i="6"/>
  <c r="AZ25" i="6" s="1"/>
  <c r="BA25" i="6" s="1"/>
  <c r="BI25" i="6" s="1"/>
  <c r="BY25" i="6" s="1"/>
  <c r="CF25" i="6" s="1"/>
  <c r="AG25" i="6"/>
  <c r="AS25" i="6" s="1"/>
  <c r="AT25" i="6" s="1"/>
  <c r="BE25" i="6" s="1"/>
  <c r="BM25" i="6" s="1"/>
  <c r="BT25" i="6" s="1"/>
  <c r="AG21" i="6"/>
  <c r="AS21" i="6" s="1"/>
  <c r="AT21" i="6" s="1"/>
  <c r="BE21" i="6" s="1"/>
  <c r="BM21" i="6" s="1"/>
  <c r="BT21" i="6" s="1"/>
  <c r="AJ21" i="6"/>
  <c r="AZ21" i="6" s="1"/>
  <c r="BA21" i="6" s="1"/>
  <c r="BI21" i="6" s="1"/>
  <c r="BY21" i="6" s="1"/>
  <c r="CF21" i="6" s="1"/>
  <c r="I14" i="5"/>
  <c r="L14" i="5" s="1"/>
  <c r="O14" i="5" s="1"/>
  <c r="F15" i="5"/>
  <c r="AG30" i="6"/>
  <c r="AS30" i="6" s="1"/>
  <c r="AT30" i="6" s="1"/>
  <c r="BE30" i="6" s="1"/>
  <c r="BM30" i="6" s="1"/>
  <c r="BT30" i="6" s="1"/>
  <c r="AJ30" i="6"/>
  <c r="AZ30" i="6" s="1"/>
  <c r="BA30" i="6" s="1"/>
  <c r="BI30" i="6" s="1"/>
  <c r="BY30" i="6" s="1"/>
  <c r="CF30" i="6" s="1"/>
  <c r="AF27" i="6"/>
  <c r="AQ27" i="6" s="1"/>
  <c r="AR27" i="6" s="1"/>
  <c r="BD27" i="6" s="1"/>
  <c r="BL27" i="6" s="1"/>
  <c r="BR27" i="6" s="1"/>
  <c r="AI27" i="6"/>
  <c r="AX27" i="6" s="1"/>
  <c r="AY27" i="6" s="1"/>
  <c r="BH27" i="6" s="1"/>
  <c r="BX27" i="6" s="1"/>
  <c r="CD27" i="6" s="1"/>
  <c r="BV5" i="6"/>
  <c r="BZ5" i="6" s="1"/>
  <c r="CA5" i="6" s="1"/>
  <c r="DA5" i="6"/>
  <c r="E176" i="5"/>
  <c r="AG23" i="6"/>
  <c r="AS23" i="6" s="1"/>
  <c r="AT23" i="6" s="1"/>
  <c r="BE23" i="6" s="1"/>
  <c r="BM23" i="6" s="1"/>
  <c r="BT23" i="6" s="1"/>
  <c r="AJ23" i="6"/>
  <c r="AZ23" i="6" s="1"/>
  <c r="BA23" i="6" s="1"/>
  <c r="BI23" i="6" s="1"/>
  <c r="BY23" i="6" s="1"/>
  <c r="CF23" i="6" s="1"/>
  <c r="AI37" i="6"/>
  <c r="AX37" i="6" s="1"/>
  <c r="AY37" i="6" s="1"/>
  <c r="BH37" i="6" s="1"/>
  <c r="BX37" i="6" s="1"/>
  <c r="CD37" i="6" s="1"/>
  <c r="AF37" i="6"/>
  <c r="AQ37" i="6" s="1"/>
  <c r="AR37" i="6" s="1"/>
  <c r="BD37" i="6" s="1"/>
  <c r="BL37" i="6" s="1"/>
  <c r="BR37" i="6" s="1"/>
  <c r="AI39" i="6"/>
  <c r="AX39" i="6" s="1"/>
  <c r="AY39" i="6" s="1"/>
  <c r="BH39" i="6" s="1"/>
  <c r="BX39" i="6" s="1"/>
  <c r="CD39" i="6" s="1"/>
  <c r="AF39" i="6"/>
  <c r="AQ39" i="6" s="1"/>
  <c r="AR39" i="6" s="1"/>
  <c r="BD39" i="6" s="1"/>
  <c r="BL39" i="6" s="1"/>
  <c r="BR39" i="6" s="1"/>
  <c r="AF42" i="6"/>
  <c r="AQ42" i="6" s="1"/>
  <c r="AR42" i="6" s="1"/>
  <c r="BD42" i="6" s="1"/>
  <c r="BL42" i="6" s="1"/>
  <c r="BR42" i="6" s="1"/>
  <c r="AI42" i="6"/>
  <c r="AX42" i="6" s="1"/>
  <c r="AY42" i="6" s="1"/>
  <c r="BH42" i="6" s="1"/>
  <c r="BX42" i="6" s="1"/>
  <c r="CD42" i="6" s="1"/>
  <c r="B73" i="6"/>
  <c r="B15" i="6"/>
  <c r="D14" i="6"/>
  <c r="AG34" i="6"/>
  <c r="AS34" i="6" s="1"/>
  <c r="AT34" i="6" s="1"/>
  <c r="BE34" i="6" s="1"/>
  <c r="BM34" i="6" s="1"/>
  <c r="BT34" i="6" s="1"/>
  <c r="AJ34" i="6"/>
  <c r="AZ34" i="6" s="1"/>
  <c r="BA34" i="6" s="1"/>
  <c r="BI34" i="6" s="1"/>
  <c r="BY34" i="6" s="1"/>
  <c r="CF34" i="6" s="1"/>
  <c r="E195" i="5"/>
  <c r="E168" i="5"/>
  <c r="AI20" i="6"/>
  <c r="AX20" i="6" s="1"/>
  <c r="AY20" i="6" s="1"/>
  <c r="BH20" i="6" s="1"/>
  <c r="BX20" i="6" s="1"/>
  <c r="CD20" i="6" s="1"/>
  <c r="AF20" i="6"/>
  <c r="AQ20" i="6" s="1"/>
  <c r="AR20" i="6" s="1"/>
  <c r="BD20" i="6" s="1"/>
  <c r="BL20" i="6" s="1"/>
  <c r="BR20" i="6" s="1"/>
  <c r="E167" i="5"/>
  <c r="AJ37" i="6"/>
  <c r="AZ37" i="6" s="1"/>
  <c r="BA37" i="6" s="1"/>
  <c r="BI37" i="6" s="1"/>
  <c r="BY37" i="6" s="1"/>
  <c r="CF37" i="6" s="1"/>
  <c r="AG37" i="6"/>
  <c r="AS37" i="6" s="1"/>
  <c r="AT37" i="6" s="1"/>
  <c r="BE37" i="6" s="1"/>
  <c r="BM37" i="6" s="1"/>
  <c r="BT37" i="6" s="1"/>
  <c r="AF32" i="6"/>
  <c r="AQ32" i="6" s="1"/>
  <c r="AR32" i="6" s="1"/>
  <c r="BD32" i="6" s="1"/>
  <c r="BL32" i="6" s="1"/>
  <c r="BR32" i="6" s="1"/>
  <c r="AI32" i="6"/>
  <c r="AX32" i="6" s="1"/>
  <c r="AY32" i="6" s="1"/>
  <c r="BH32" i="6" s="1"/>
  <c r="BX32" i="6" s="1"/>
  <c r="CD32" i="6" s="1"/>
  <c r="AI15" i="6"/>
  <c r="AX15" i="6" s="1"/>
  <c r="AY15" i="6" s="1"/>
  <c r="BH15" i="6" s="1"/>
  <c r="BX15" i="6" s="1"/>
  <c r="CD15" i="6" s="1"/>
  <c r="AF15" i="6"/>
  <c r="AQ15" i="6" s="1"/>
  <c r="AR15" i="6" s="1"/>
  <c r="BD15" i="6" s="1"/>
  <c r="BL15" i="6" s="1"/>
  <c r="BR15" i="6" s="1"/>
  <c r="AG39" i="6"/>
  <c r="AS39" i="6" s="1"/>
  <c r="AT39" i="6" s="1"/>
  <c r="BE39" i="6" s="1"/>
  <c r="BM39" i="6" s="1"/>
  <c r="BT39" i="6" s="1"/>
  <c r="AJ39" i="6"/>
  <c r="AZ39" i="6" s="1"/>
  <c r="BA39" i="6" s="1"/>
  <c r="BI39" i="6" s="1"/>
  <c r="BY39" i="6" s="1"/>
  <c r="CF39" i="6" s="1"/>
  <c r="AF50" i="6"/>
  <c r="AQ50" i="6" s="1"/>
  <c r="AR50" i="6" s="1"/>
  <c r="BD50" i="6" s="1"/>
  <c r="BL50" i="6" s="1"/>
  <c r="BR50" i="6" s="1"/>
  <c r="AI50" i="6"/>
  <c r="AX50" i="6" s="1"/>
  <c r="AY50" i="6" s="1"/>
  <c r="BH50" i="6" s="1"/>
  <c r="BX50" i="6" s="1"/>
  <c r="CD50" i="6" s="1"/>
  <c r="AG46" i="6"/>
  <c r="AS46" i="6" s="1"/>
  <c r="AT46" i="6" s="1"/>
  <c r="BE46" i="6" s="1"/>
  <c r="BM46" i="6" s="1"/>
  <c r="BT46" i="6" s="1"/>
  <c r="AJ46" i="6"/>
  <c r="AZ46" i="6" s="1"/>
  <c r="BA46" i="6" s="1"/>
  <c r="BI46" i="6" s="1"/>
  <c r="BY46" i="6" s="1"/>
  <c r="CF46" i="6" s="1"/>
  <c r="AI36" i="6"/>
  <c r="AX36" i="6" s="1"/>
  <c r="AY36" i="6" s="1"/>
  <c r="BH36" i="6" s="1"/>
  <c r="BX36" i="6" s="1"/>
  <c r="CD36" i="6" s="1"/>
  <c r="AF36" i="6"/>
  <c r="AQ36" i="6" s="1"/>
  <c r="AR36" i="6" s="1"/>
  <c r="BD36" i="6" s="1"/>
  <c r="BL36" i="6" s="1"/>
  <c r="BR36" i="6" s="1"/>
  <c r="AI51" i="6"/>
  <c r="AX51" i="6" s="1"/>
  <c r="AY51" i="6" s="1"/>
  <c r="BH51" i="6" s="1"/>
  <c r="BX51" i="6" s="1"/>
  <c r="CD51" i="6" s="1"/>
  <c r="AF51" i="6"/>
  <c r="AQ51" i="6" s="1"/>
  <c r="AR51" i="6" s="1"/>
  <c r="BD51" i="6" s="1"/>
  <c r="BL51" i="6" s="1"/>
  <c r="BR51" i="6" s="1"/>
  <c r="E166" i="5"/>
  <c r="BQ6" i="6"/>
  <c r="E161" i="5"/>
  <c r="AI54" i="6"/>
  <c r="AX54" i="6" s="1"/>
  <c r="AY54" i="6" s="1"/>
  <c r="BH54" i="6" s="1"/>
  <c r="BX54" i="6" s="1"/>
  <c r="CD54" i="6" s="1"/>
  <c r="AF54" i="6"/>
  <c r="AQ54" i="6" s="1"/>
  <c r="AR54" i="6" s="1"/>
  <c r="BD54" i="6" s="1"/>
  <c r="BL54" i="6" s="1"/>
  <c r="BR54" i="6" s="1"/>
  <c r="E160" i="5"/>
  <c r="BZ68" i="6"/>
  <c r="J44" i="2"/>
  <c r="J45" i="2" s="1"/>
  <c r="AJ5" i="6"/>
  <c r="AZ5" i="6" s="1"/>
  <c r="BA5" i="6" s="1"/>
  <c r="BI5" i="6" s="1"/>
  <c r="BY5" i="6" s="1"/>
  <c r="CF5" i="6" s="1"/>
  <c r="CG5" i="6" s="1"/>
  <c r="CG6" i="6" s="1"/>
  <c r="AG5" i="6"/>
  <c r="AS5" i="6" s="1"/>
  <c r="AT5" i="6" s="1"/>
  <c r="BE5" i="6" s="1"/>
  <c r="BM5" i="6" s="1"/>
  <c r="BT5" i="6" s="1"/>
  <c r="BU5" i="6" s="1"/>
  <c r="AF41" i="6"/>
  <c r="AQ41" i="6" s="1"/>
  <c r="AR41" i="6" s="1"/>
  <c r="BD41" i="6" s="1"/>
  <c r="BL41" i="6" s="1"/>
  <c r="BR41" i="6" s="1"/>
  <c r="AI41" i="6"/>
  <c r="AX41" i="6" s="1"/>
  <c r="AY41" i="6" s="1"/>
  <c r="BH41" i="6" s="1"/>
  <c r="BX41" i="6" s="1"/>
  <c r="CD41" i="6" s="1"/>
  <c r="AI48" i="6"/>
  <c r="AX48" i="6" s="1"/>
  <c r="AY48" i="6" s="1"/>
  <c r="BH48" i="6" s="1"/>
  <c r="BX48" i="6" s="1"/>
  <c r="CD48" i="6" s="1"/>
  <c r="AF48" i="6"/>
  <c r="AQ48" i="6" s="1"/>
  <c r="AR48" i="6" s="1"/>
  <c r="BD48" i="6" s="1"/>
  <c r="BL48" i="6" s="1"/>
  <c r="BR48" i="6" s="1"/>
  <c r="BU6" i="6" l="1"/>
  <c r="CG7" i="6"/>
  <c r="CG8" i="6" s="1"/>
  <c r="CJ6" i="6"/>
  <c r="CM6" i="6" s="1"/>
  <c r="BQ7" i="6"/>
  <c r="BS7" i="6"/>
  <c r="AE8" i="6"/>
  <c r="AN8" i="6" s="1"/>
  <c r="AO8" i="6" s="1"/>
  <c r="BB8" i="6" s="1"/>
  <c r="CJ8" i="6" s="1"/>
  <c r="G9" i="6"/>
  <c r="AE9" i="6" s="1"/>
  <c r="AN9" i="6" s="1"/>
  <c r="AO9" i="6" s="1"/>
  <c r="BB9" i="6" s="1"/>
  <c r="AG8" i="6"/>
  <c r="AS8" i="6" s="1"/>
  <c r="AT8" i="6" s="1"/>
  <c r="BE8" i="6" s="1"/>
  <c r="BM8" i="6" s="1"/>
  <c r="BT8" i="6" s="1"/>
  <c r="AO7" i="6"/>
  <c r="BB7" i="6" s="1"/>
  <c r="CJ7" i="6" s="1"/>
  <c r="CK7" i="6" s="1"/>
  <c r="AH8" i="6"/>
  <c r="AU8" i="6" s="1"/>
  <c r="AW8" i="6" s="1"/>
  <c r="BG8" i="6" s="1"/>
  <c r="BW8" i="6" s="1"/>
  <c r="CB8" i="6" s="1"/>
  <c r="K8" i="6"/>
  <c r="AF8" i="6" s="1"/>
  <c r="AQ8" i="6" s="1"/>
  <c r="AR8" i="6" s="1"/>
  <c r="BD8" i="6" s="1"/>
  <c r="BL8" i="6" s="1"/>
  <c r="BR8" i="6" s="1"/>
  <c r="AW7" i="6"/>
  <c r="BG7" i="6" s="1"/>
  <c r="BW7" i="6" s="1"/>
  <c r="CB7" i="6" s="1"/>
  <c r="CC7" i="6" s="1"/>
  <c r="AG7" i="6"/>
  <c r="AS7" i="6" s="1"/>
  <c r="AT7" i="6" s="1"/>
  <c r="BE7" i="6" s="1"/>
  <c r="BM7" i="6" s="1"/>
  <c r="BT7" i="6" s="1"/>
  <c r="BV7" i="6"/>
  <c r="BZ7" i="6" s="1"/>
  <c r="H45" i="2"/>
  <c r="H44" i="2" s="1"/>
  <c r="H50" i="2"/>
  <c r="J50" i="2" s="1"/>
  <c r="CA6" i="6"/>
  <c r="B16" i="6"/>
  <c r="D15" i="6"/>
  <c r="DS5" i="6"/>
  <c r="DE5" i="6"/>
  <c r="DD5" i="6"/>
  <c r="DC5" i="6"/>
  <c r="DB5" i="6"/>
  <c r="E181" i="5"/>
  <c r="BO6" i="6"/>
  <c r="CL5" i="6"/>
  <c r="CK5" i="6"/>
  <c r="CN5" i="6"/>
  <c r="CM5" i="6"/>
  <c r="E179" i="5"/>
  <c r="E207" i="5"/>
  <c r="E182" i="5"/>
  <c r="E174" i="5"/>
  <c r="B34" i="2"/>
  <c r="C25" i="4" s="1"/>
  <c r="C35" i="2"/>
  <c r="C37" i="2" s="1"/>
  <c r="D73" i="6"/>
  <c r="E31" i="4"/>
  <c r="J31" i="4" s="1"/>
  <c r="E178" i="5"/>
  <c r="E188" i="5"/>
  <c r="I15" i="5"/>
  <c r="L15" i="5" s="1"/>
  <c r="O15" i="5" s="1"/>
  <c r="F16" i="5"/>
  <c r="DS6" i="6"/>
  <c r="DE6" i="6"/>
  <c r="DD6" i="6"/>
  <c r="DC6" i="6"/>
  <c r="DB6" i="6"/>
  <c r="DB7" i="6"/>
  <c r="DS7" i="6"/>
  <c r="DE7" i="6"/>
  <c r="DD7" i="6"/>
  <c r="DC7" i="6"/>
  <c r="E177" i="5"/>
  <c r="E180" i="5"/>
  <c r="E173" i="5"/>
  <c r="E172" i="5"/>
  <c r="E199" i="5"/>
  <c r="BU7" i="6" l="1"/>
  <c r="BU8" i="6" s="1"/>
  <c r="K9" i="6"/>
  <c r="AI9" i="6" s="1"/>
  <c r="AX9" i="6" s="1"/>
  <c r="AY9" i="6" s="1"/>
  <c r="BH9" i="6" s="1"/>
  <c r="BX9" i="6" s="1"/>
  <c r="CD9" i="6" s="1"/>
  <c r="CK6" i="6"/>
  <c r="CN6" i="6"/>
  <c r="CL6" i="6"/>
  <c r="AP9" i="6"/>
  <c r="BC9" i="6" s="1"/>
  <c r="BK9" i="6" s="1"/>
  <c r="BP9" i="6" s="1"/>
  <c r="AH9" i="6"/>
  <c r="AU9" i="6" s="1"/>
  <c r="AW9" i="6" s="1"/>
  <c r="BG9" i="6" s="1"/>
  <c r="BW9" i="6" s="1"/>
  <c r="CB9" i="6" s="1"/>
  <c r="BJ8" i="6"/>
  <c r="BN8" i="6" s="1"/>
  <c r="G10" i="6"/>
  <c r="K10" i="6" s="1"/>
  <c r="AI10" i="6" s="1"/>
  <c r="AX10" i="6" s="1"/>
  <c r="AY10" i="6" s="1"/>
  <c r="BH10" i="6" s="1"/>
  <c r="BX10" i="6" s="1"/>
  <c r="CD10" i="6" s="1"/>
  <c r="O9" i="6"/>
  <c r="AG9" i="6" s="1"/>
  <c r="AS9" i="6" s="1"/>
  <c r="AT9" i="6" s="1"/>
  <c r="BE9" i="6" s="1"/>
  <c r="BM9" i="6" s="1"/>
  <c r="BT9" i="6" s="1"/>
  <c r="AI8" i="6"/>
  <c r="AX8" i="6" s="1"/>
  <c r="AY8" i="6" s="1"/>
  <c r="BH8" i="6" s="1"/>
  <c r="BX8" i="6" s="1"/>
  <c r="CD8" i="6" s="1"/>
  <c r="CE8" i="6" s="1"/>
  <c r="BS8" i="6"/>
  <c r="AP8" i="6"/>
  <c r="BC8" i="6" s="1"/>
  <c r="BK8" i="6" s="1"/>
  <c r="BP8" i="6" s="1"/>
  <c r="BQ8" i="6" s="1"/>
  <c r="AV8" i="6"/>
  <c r="BF8" i="6" s="1"/>
  <c r="DA8" i="6" s="1"/>
  <c r="DE8" i="6" s="1"/>
  <c r="CC8" i="6"/>
  <c r="CL7" i="6"/>
  <c r="CM7" i="6"/>
  <c r="CN7" i="6"/>
  <c r="BJ7" i="6"/>
  <c r="BN7" i="6" s="1"/>
  <c r="BO7" i="6" s="1"/>
  <c r="CA7" i="6"/>
  <c r="I25" i="4"/>
  <c r="CN8" i="6"/>
  <c r="CM8" i="6"/>
  <c r="CL8" i="6"/>
  <c r="CK8" i="6"/>
  <c r="E191" i="5"/>
  <c r="E189" i="5"/>
  <c r="E190" i="5"/>
  <c r="G26" i="5"/>
  <c r="J26" i="5" s="1"/>
  <c r="M26" i="5" s="1"/>
  <c r="P26" i="5" s="1"/>
  <c r="G18" i="5"/>
  <c r="J18" i="5" s="1"/>
  <c r="M18" i="5" s="1"/>
  <c r="P18" i="5" s="1"/>
  <c r="G25" i="5"/>
  <c r="J25" i="5" s="1"/>
  <c r="M25" i="5" s="1"/>
  <c r="P25" i="5" s="1"/>
  <c r="G17" i="5"/>
  <c r="J17" i="5" s="1"/>
  <c r="M17" i="5" s="1"/>
  <c r="P17" i="5" s="1"/>
  <c r="G22" i="5"/>
  <c r="J22" i="5" s="1"/>
  <c r="M22" i="5" s="1"/>
  <c r="P22" i="5" s="1"/>
  <c r="G21" i="5"/>
  <c r="J21" i="5" s="1"/>
  <c r="M21" i="5" s="1"/>
  <c r="P21" i="5" s="1"/>
  <c r="G27" i="5"/>
  <c r="J27" i="5" s="1"/>
  <c r="M27" i="5" s="1"/>
  <c r="P27" i="5" s="1"/>
  <c r="G19" i="5"/>
  <c r="J19" i="5" s="1"/>
  <c r="M19" i="5" s="1"/>
  <c r="P19" i="5" s="1"/>
  <c r="G20" i="5"/>
  <c r="J20" i="5" s="1"/>
  <c r="M20" i="5" s="1"/>
  <c r="P20" i="5" s="1"/>
  <c r="G23" i="5"/>
  <c r="J23" i="5" s="1"/>
  <c r="M23" i="5" s="1"/>
  <c r="P23" i="5" s="1"/>
  <c r="G16" i="5"/>
  <c r="J16" i="5" s="1"/>
  <c r="M16" i="5" s="1"/>
  <c r="P16" i="5" s="1"/>
  <c r="G24" i="5"/>
  <c r="J24" i="5" s="1"/>
  <c r="M24" i="5" s="1"/>
  <c r="P24" i="5" s="1"/>
  <c r="E192" i="5"/>
  <c r="I16" i="5"/>
  <c r="L16" i="5" s="1"/>
  <c r="O16" i="5" s="1"/>
  <c r="F17" i="5"/>
  <c r="E193" i="5"/>
  <c r="D16" i="6"/>
  <c r="B17" i="6"/>
  <c r="E200" i="5"/>
  <c r="E186" i="5"/>
  <c r="G33" i="5"/>
  <c r="J33" i="5" s="1"/>
  <c r="M33" i="5" s="1"/>
  <c r="P33" i="5" s="1"/>
  <c r="G35" i="5"/>
  <c r="J35" i="5" s="1"/>
  <c r="M35" i="5" s="1"/>
  <c r="P35" i="5" s="1"/>
  <c r="G37" i="5"/>
  <c r="J37" i="5" s="1"/>
  <c r="M37" i="5" s="1"/>
  <c r="P37" i="5" s="1"/>
  <c r="G38" i="5"/>
  <c r="J38" i="5" s="1"/>
  <c r="M38" i="5" s="1"/>
  <c r="P38" i="5" s="1"/>
  <c r="G28" i="5"/>
  <c r="J28" i="5" s="1"/>
  <c r="M28" i="5" s="1"/>
  <c r="P28" i="5" s="1"/>
  <c r="G39" i="5"/>
  <c r="J39" i="5" s="1"/>
  <c r="M39" i="5" s="1"/>
  <c r="P39" i="5" s="1"/>
  <c r="G34" i="5"/>
  <c r="J34" i="5" s="1"/>
  <c r="M34" i="5" s="1"/>
  <c r="P34" i="5" s="1"/>
  <c r="G30" i="5"/>
  <c r="J30" i="5" s="1"/>
  <c r="M30" i="5" s="1"/>
  <c r="P30" i="5" s="1"/>
  <c r="G36" i="5"/>
  <c r="J36" i="5" s="1"/>
  <c r="M36" i="5" s="1"/>
  <c r="P36" i="5" s="1"/>
  <c r="G29" i="5"/>
  <c r="J29" i="5" s="1"/>
  <c r="M29" i="5" s="1"/>
  <c r="P29" i="5" s="1"/>
  <c r="G31" i="5"/>
  <c r="J31" i="5" s="1"/>
  <c r="M31" i="5" s="1"/>
  <c r="P31" i="5" s="1"/>
  <c r="G32" i="5"/>
  <c r="J32" i="5" s="1"/>
  <c r="M32" i="5" s="1"/>
  <c r="P32" i="5" s="1"/>
  <c r="E219" i="5"/>
  <c r="E211" i="5"/>
  <c r="E194" i="5"/>
  <c r="E184" i="5"/>
  <c r="BJ9" i="6"/>
  <c r="BN9" i="6" s="1"/>
  <c r="CJ9" i="6"/>
  <c r="E185" i="5"/>
  <c r="G7" i="5"/>
  <c r="J7" i="5" s="1"/>
  <c r="M7" i="5" s="1"/>
  <c r="P7" i="5" s="1"/>
  <c r="G6" i="5"/>
  <c r="J6" i="5" s="1"/>
  <c r="M6" i="5" s="1"/>
  <c r="P6" i="5" s="1"/>
  <c r="G15" i="5"/>
  <c r="J15" i="5" s="1"/>
  <c r="M15" i="5" s="1"/>
  <c r="P15" i="5" s="1"/>
  <c r="G14" i="5"/>
  <c r="J14" i="5" s="1"/>
  <c r="M14" i="5" s="1"/>
  <c r="P14" i="5" s="1"/>
  <c r="G13" i="5"/>
  <c r="J13" i="5" s="1"/>
  <c r="M13" i="5" s="1"/>
  <c r="P13" i="5" s="1"/>
  <c r="G12" i="5"/>
  <c r="J12" i="5" s="1"/>
  <c r="M12" i="5" s="1"/>
  <c r="P12" i="5" s="1"/>
  <c r="G11" i="5"/>
  <c r="J11" i="5" s="1"/>
  <c r="M11" i="5" s="1"/>
  <c r="P11" i="5" s="1"/>
  <c r="G10" i="5"/>
  <c r="J10" i="5" s="1"/>
  <c r="M10" i="5" s="1"/>
  <c r="P10" i="5" s="1"/>
  <c r="G9" i="5"/>
  <c r="J9" i="5" s="1"/>
  <c r="M9" i="5" s="1"/>
  <c r="P9" i="5" s="1"/>
  <c r="G5" i="5"/>
  <c r="J5" i="5" s="1"/>
  <c r="M5" i="5" s="1"/>
  <c r="P5" i="5" s="1"/>
  <c r="G4" i="5"/>
  <c r="G8" i="5"/>
  <c r="J8" i="5" s="1"/>
  <c r="M8" i="5" s="1"/>
  <c r="P8" i="5" s="1"/>
  <c r="AF9" i="6" l="1"/>
  <c r="AQ9" i="6" s="1"/>
  <c r="AR9" i="6" s="1"/>
  <c r="BD9" i="6" s="1"/>
  <c r="BL9" i="6" s="1"/>
  <c r="BR9" i="6" s="1"/>
  <c r="BS9" i="6" s="1"/>
  <c r="CE9" i="6"/>
  <c r="CE10" i="6" s="1"/>
  <c r="AF10" i="6"/>
  <c r="AQ10" i="6" s="1"/>
  <c r="AR10" i="6" s="1"/>
  <c r="BD10" i="6" s="1"/>
  <c r="BL10" i="6" s="1"/>
  <c r="BR10" i="6" s="1"/>
  <c r="G11" i="6"/>
  <c r="AH11" i="6" s="1"/>
  <c r="AU11" i="6" s="1"/>
  <c r="AV11" i="6" s="1"/>
  <c r="BF11" i="6" s="1"/>
  <c r="AH10" i="6"/>
  <c r="AU10" i="6" s="1"/>
  <c r="AW10" i="6" s="1"/>
  <c r="BG10" i="6" s="1"/>
  <c r="BW10" i="6" s="1"/>
  <c r="CB10" i="6" s="1"/>
  <c r="O10" i="6"/>
  <c r="AJ10" i="6" s="1"/>
  <c r="AZ10" i="6" s="1"/>
  <c r="BA10" i="6" s="1"/>
  <c r="BI10" i="6" s="1"/>
  <c r="BY10" i="6" s="1"/>
  <c r="CF10" i="6" s="1"/>
  <c r="BO8" i="6"/>
  <c r="BO9" i="6" s="1"/>
  <c r="I49" i="2" s="1"/>
  <c r="BU9" i="6"/>
  <c r="AE10" i="6"/>
  <c r="AN10" i="6" s="1"/>
  <c r="AP10" i="6" s="1"/>
  <c r="BC10" i="6" s="1"/>
  <c r="BK10" i="6" s="1"/>
  <c r="BP10" i="6" s="1"/>
  <c r="AJ9" i="6"/>
  <c r="AZ9" i="6" s="1"/>
  <c r="BA9" i="6" s="1"/>
  <c r="BI9" i="6" s="1"/>
  <c r="BY9" i="6" s="1"/>
  <c r="CF9" i="6" s="1"/>
  <c r="CG9" i="6" s="1"/>
  <c r="BQ9" i="6"/>
  <c r="CC9" i="6"/>
  <c r="AV9" i="6"/>
  <c r="BF9" i="6" s="1"/>
  <c r="DA9" i="6" s="1"/>
  <c r="DE9" i="6" s="1"/>
  <c r="DB8" i="6"/>
  <c r="DC8" i="6"/>
  <c r="DD8" i="6"/>
  <c r="BV8" i="6"/>
  <c r="BZ8" i="6" s="1"/>
  <c r="CA8" i="6" s="1"/>
  <c r="DS8" i="6"/>
  <c r="G41" i="5" s="1"/>
  <c r="J41" i="5" s="1"/>
  <c r="M41" i="5" s="1"/>
  <c r="P41" i="5" s="1"/>
  <c r="E196" i="5"/>
  <c r="E204" i="5"/>
  <c r="E201" i="5"/>
  <c r="B18" i="6"/>
  <c r="D17" i="6"/>
  <c r="E203" i="5"/>
  <c r="E197" i="5"/>
  <c r="CL9" i="6"/>
  <c r="CK9" i="6"/>
  <c r="CM9" i="6"/>
  <c r="CN9" i="6"/>
  <c r="E206" i="5"/>
  <c r="E223" i="5"/>
  <c r="E205" i="5"/>
  <c r="E198" i="5"/>
  <c r="I17" i="5"/>
  <c r="L17" i="5" s="1"/>
  <c r="O17" i="5" s="1"/>
  <c r="F18" i="5"/>
  <c r="J4" i="5"/>
  <c r="E231" i="5"/>
  <c r="E212" i="5"/>
  <c r="E202" i="5"/>
  <c r="L49" i="2" l="1"/>
  <c r="AG10" i="6"/>
  <c r="AS10" i="6" s="1"/>
  <c r="AT10" i="6" s="1"/>
  <c r="BE10" i="6" s="1"/>
  <c r="BM10" i="6" s="1"/>
  <c r="BT10" i="6" s="1"/>
  <c r="BU10" i="6" s="1"/>
  <c r="O11" i="6"/>
  <c r="AE11" i="6"/>
  <c r="AN11" i="6" s="1"/>
  <c r="AO11" i="6" s="1"/>
  <c r="BB11" i="6" s="1"/>
  <c r="CJ11" i="6" s="1"/>
  <c r="BS10" i="6"/>
  <c r="AV10" i="6"/>
  <c r="BF10" i="6" s="1"/>
  <c r="BV10" i="6" s="1"/>
  <c r="BZ10" i="6" s="1"/>
  <c r="CG10" i="6"/>
  <c r="K11" i="6"/>
  <c r="G12" i="6"/>
  <c r="CC10" i="6"/>
  <c r="AW11" i="6"/>
  <c r="BG11" i="6" s="1"/>
  <c r="BW11" i="6" s="1"/>
  <c r="CB11" i="6" s="1"/>
  <c r="AO10" i="6"/>
  <c r="BB10" i="6" s="1"/>
  <c r="CJ10" i="6" s="1"/>
  <c r="CK10" i="6" s="1"/>
  <c r="BQ10" i="6"/>
  <c r="DD9" i="6"/>
  <c r="DS9" i="6"/>
  <c r="G63" i="5" s="1"/>
  <c r="J63" i="5" s="1"/>
  <c r="M63" i="5" s="1"/>
  <c r="P63" i="5" s="1"/>
  <c r="DB9" i="6"/>
  <c r="DC9" i="6"/>
  <c r="G43" i="5"/>
  <c r="J43" i="5" s="1"/>
  <c r="M43" i="5" s="1"/>
  <c r="P43" i="5" s="1"/>
  <c r="BV9" i="6"/>
  <c r="BZ9" i="6" s="1"/>
  <c r="CA9" i="6" s="1"/>
  <c r="G50" i="5"/>
  <c r="J50" i="5" s="1"/>
  <c r="M50" i="5" s="1"/>
  <c r="P50" i="5" s="1"/>
  <c r="G51" i="5"/>
  <c r="J51" i="5" s="1"/>
  <c r="M51" i="5" s="1"/>
  <c r="P51" i="5" s="1"/>
  <c r="G45" i="5"/>
  <c r="J45" i="5" s="1"/>
  <c r="M45" i="5" s="1"/>
  <c r="P45" i="5" s="1"/>
  <c r="G47" i="5"/>
  <c r="J47" i="5" s="1"/>
  <c r="M47" i="5" s="1"/>
  <c r="P47" i="5" s="1"/>
  <c r="G40" i="5"/>
  <c r="J40" i="5" s="1"/>
  <c r="M40" i="5" s="1"/>
  <c r="P40" i="5" s="1"/>
  <c r="G44" i="5"/>
  <c r="J44" i="5" s="1"/>
  <c r="M44" i="5" s="1"/>
  <c r="P44" i="5" s="1"/>
  <c r="G48" i="5"/>
  <c r="J48" i="5" s="1"/>
  <c r="M48" i="5" s="1"/>
  <c r="P48" i="5" s="1"/>
  <c r="G49" i="5"/>
  <c r="J49" i="5" s="1"/>
  <c r="M49" i="5" s="1"/>
  <c r="P49" i="5" s="1"/>
  <c r="G46" i="5"/>
  <c r="J46" i="5" s="1"/>
  <c r="M46" i="5" s="1"/>
  <c r="P46" i="5" s="1"/>
  <c r="G42" i="5"/>
  <c r="J42" i="5" s="1"/>
  <c r="M42" i="5" s="1"/>
  <c r="P42" i="5" s="1"/>
  <c r="E210" i="5"/>
  <c r="E208" i="5"/>
  <c r="BV11" i="6"/>
  <c r="BZ11" i="6" s="1"/>
  <c r="DA11" i="6"/>
  <c r="E216" i="5"/>
  <c r="E214" i="5"/>
  <c r="E235" i="5"/>
  <c r="E224" i="5"/>
  <c r="E243" i="5"/>
  <c r="M4" i="5"/>
  <c r="E217" i="5"/>
  <c r="E218" i="5"/>
  <c r="E215" i="5"/>
  <c r="E209" i="5"/>
  <c r="I18" i="5"/>
  <c r="L18" i="5" s="1"/>
  <c r="O18" i="5" s="1"/>
  <c r="F19" i="5"/>
  <c r="E213" i="5"/>
  <c r="B19" i="6"/>
  <c r="D18" i="6"/>
  <c r="CN10" i="6" l="1"/>
  <c r="CL10" i="6"/>
  <c r="CC11" i="6"/>
  <c r="BJ11" i="6"/>
  <c r="BN11" i="6" s="1"/>
  <c r="AP11" i="6"/>
  <c r="BC11" i="6" s="1"/>
  <c r="BK11" i="6" s="1"/>
  <c r="BP11" i="6" s="1"/>
  <c r="BQ11" i="6" s="1"/>
  <c r="AG11" i="6"/>
  <c r="AS11" i="6" s="1"/>
  <c r="AT11" i="6" s="1"/>
  <c r="BE11" i="6" s="1"/>
  <c r="BM11" i="6" s="1"/>
  <c r="BT11" i="6" s="1"/>
  <c r="BU11" i="6" s="1"/>
  <c r="AJ11" i="6"/>
  <c r="AZ11" i="6" s="1"/>
  <c r="BA11" i="6" s="1"/>
  <c r="BI11" i="6" s="1"/>
  <c r="BY11" i="6" s="1"/>
  <c r="CF11" i="6" s="1"/>
  <c r="CG11" i="6" s="1"/>
  <c r="DA10" i="6"/>
  <c r="DB10" i="6" s="1"/>
  <c r="CM10" i="6"/>
  <c r="AH12" i="6"/>
  <c r="AU12" i="6" s="1"/>
  <c r="G13" i="6"/>
  <c r="K12" i="6"/>
  <c r="AE12" i="6"/>
  <c r="AN12" i="6" s="1"/>
  <c r="O12" i="6"/>
  <c r="AF11" i="6"/>
  <c r="AQ11" i="6" s="1"/>
  <c r="AR11" i="6" s="1"/>
  <c r="BD11" i="6" s="1"/>
  <c r="BL11" i="6" s="1"/>
  <c r="BR11" i="6" s="1"/>
  <c r="BS11" i="6" s="1"/>
  <c r="AI11" i="6"/>
  <c r="AX11" i="6" s="1"/>
  <c r="AY11" i="6" s="1"/>
  <c r="BH11" i="6" s="1"/>
  <c r="BX11" i="6" s="1"/>
  <c r="CD11" i="6" s="1"/>
  <c r="CE11" i="6" s="1"/>
  <c r="G61" i="5"/>
  <c r="J61" i="5" s="1"/>
  <c r="M61" i="5" s="1"/>
  <c r="P61" i="5" s="1"/>
  <c r="G57" i="5"/>
  <c r="J57" i="5" s="1"/>
  <c r="M57" i="5" s="1"/>
  <c r="P57" i="5" s="1"/>
  <c r="G55" i="5"/>
  <c r="J55" i="5" s="1"/>
  <c r="M55" i="5" s="1"/>
  <c r="P55" i="5" s="1"/>
  <c r="BJ10" i="6"/>
  <c r="BN10" i="6" s="1"/>
  <c r="BO10" i="6" s="1"/>
  <c r="CA10" i="6"/>
  <c r="CA11" i="6" s="1"/>
  <c r="G60" i="5"/>
  <c r="J60" i="5" s="1"/>
  <c r="M60" i="5" s="1"/>
  <c r="P60" i="5" s="1"/>
  <c r="G54" i="5"/>
  <c r="J54" i="5" s="1"/>
  <c r="M54" i="5" s="1"/>
  <c r="P54" i="5" s="1"/>
  <c r="G52" i="5"/>
  <c r="J52" i="5" s="1"/>
  <c r="M52" i="5" s="1"/>
  <c r="P52" i="5" s="1"/>
  <c r="G62" i="5"/>
  <c r="J62" i="5" s="1"/>
  <c r="M62" i="5" s="1"/>
  <c r="P62" i="5" s="1"/>
  <c r="G58" i="5"/>
  <c r="J58" i="5" s="1"/>
  <c r="M58" i="5" s="1"/>
  <c r="P58" i="5" s="1"/>
  <c r="G59" i="5"/>
  <c r="J59" i="5" s="1"/>
  <c r="M59" i="5" s="1"/>
  <c r="P59" i="5" s="1"/>
  <c r="G56" i="5"/>
  <c r="J56" i="5" s="1"/>
  <c r="M56" i="5" s="1"/>
  <c r="P56" i="5" s="1"/>
  <c r="G53" i="5"/>
  <c r="J53" i="5" s="1"/>
  <c r="M53" i="5" s="1"/>
  <c r="P53" i="5" s="1"/>
  <c r="DS11" i="6"/>
  <c r="DC11" i="6"/>
  <c r="DE11" i="6"/>
  <c r="DD11" i="6"/>
  <c r="DB11" i="6"/>
  <c r="B20" i="6"/>
  <c r="D19" i="6"/>
  <c r="E221" i="5"/>
  <c r="P4" i="5"/>
  <c r="E220" i="5"/>
  <c r="CL11" i="6"/>
  <c r="CN11" i="6"/>
  <c r="CM11" i="6"/>
  <c r="CK11" i="6"/>
  <c r="E255" i="5"/>
  <c r="E222" i="5"/>
  <c r="E236" i="5"/>
  <c r="E227" i="5"/>
  <c r="E225" i="5"/>
  <c r="E230" i="5"/>
  <c r="E226" i="5"/>
  <c r="E228" i="5"/>
  <c r="I19" i="5"/>
  <c r="F20" i="5"/>
  <c r="E229" i="5"/>
  <c r="E247" i="5"/>
  <c r="BO11" i="6" l="1"/>
  <c r="DE10" i="6"/>
  <c r="DC10" i="6"/>
  <c r="DS10" i="6"/>
  <c r="DD10" i="6"/>
  <c r="AG12" i="6"/>
  <c r="AS12" i="6" s="1"/>
  <c r="AT12" i="6" s="1"/>
  <c r="BE12" i="6" s="1"/>
  <c r="BM12" i="6" s="1"/>
  <c r="BT12" i="6" s="1"/>
  <c r="BU12" i="6" s="1"/>
  <c r="AJ12" i="6"/>
  <c r="AZ12" i="6" s="1"/>
  <c r="BA12" i="6" s="1"/>
  <c r="BI12" i="6" s="1"/>
  <c r="BY12" i="6" s="1"/>
  <c r="CF12" i="6" s="1"/>
  <c r="CG12" i="6" s="1"/>
  <c r="AO12" i="6"/>
  <c r="BB12" i="6" s="1"/>
  <c r="AP12" i="6"/>
  <c r="BC12" i="6" s="1"/>
  <c r="BK12" i="6" s="1"/>
  <c r="BP12" i="6" s="1"/>
  <c r="BQ12" i="6" s="1"/>
  <c r="AI12" i="6"/>
  <c r="AX12" i="6" s="1"/>
  <c r="AY12" i="6" s="1"/>
  <c r="BH12" i="6" s="1"/>
  <c r="BX12" i="6" s="1"/>
  <c r="CD12" i="6" s="1"/>
  <c r="CE12" i="6" s="1"/>
  <c r="AF12" i="6"/>
  <c r="AQ12" i="6" s="1"/>
  <c r="AR12" i="6" s="1"/>
  <c r="BD12" i="6" s="1"/>
  <c r="BL12" i="6" s="1"/>
  <c r="BR12" i="6" s="1"/>
  <c r="BS12" i="6" s="1"/>
  <c r="O13" i="6"/>
  <c r="K13" i="6"/>
  <c r="AH13" i="6"/>
  <c r="AU13" i="6" s="1"/>
  <c r="AE13" i="6"/>
  <c r="AN13" i="6" s="1"/>
  <c r="G14" i="6"/>
  <c r="AV12" i="6"/>
  <c r="BF12" i="6" s="1"/>
  <c r="AW12" i="6"/>
  <c r="BG12" i="6" s="1"/>
  <c r="BW12" i="6" s="1"/>
  <c r="CB12" i="6" s="1"/>
  <c r="CC12" i="6" s="1"/>
  <c r="L19" i="5"/>
  <c r="E242" i="5"/>
  <c r="E248" i="5"/>
  <c r="E259" i="5"/>
  <c r="E237" i="5"/>
  <c r="E234" i="5"/>
  <c r="G87" i="5"/>
  <c r="J87" i="5" s="1"/>
  <c r="M87" i="5" s="1"/>
  <c r="P87" i="5" s="1"/>
  <c r="G79" i="5"/>
  <c r="J79" i="5" s="1"/>
  <c r="M79" i="5" s="1"/>
  <c r="P79" i="5" s="1"/>
  <c r="G80" i="5"/>
  <c r="J80" i="5" s="1"/>
  <c r="M80" i="5" s="1"/>
  <c r="P80" i="5" s="1"/>
  <c r="G76" i="5"/>
  <c r="J76" i="5" s="1"/>
  <c r="M76" i="5" s="1"/>
  <c r="P76" i="5" s="1"/>
  <c r="G83" i="5"/>
  <c r="J83" i="5" s="1"/>
  <c r="M83" i="5" s="1"/>
  <c r="P83" i="5" s="1"/>
  <c r="G78" i="5"/>
  <c r="J78" i="5" s="1"/>
  <c r="M78" i="5" s="1"/>
  <c r="P78" i="5" s="1"/>
  <c r="G85" i="5"/>
  <c r="J85" i="5" s="1"/>
  <c r="M85" i="5" s="1"/>
  <c r="P85" i="5" s="1"/>
  <c r="G84" i="5"/>
  <c r="J84" i="5" s="1"/>
  <c r="M84" i="5" s="1"/>
  <c r="P84" i="5" s="1"/>
  <c r="G82" i="5"/>
  <c r="J82" i="5" s="1"/>
  <c r="M82" i="5" s="1"/>
  <c r="P82" i="5" s="1"/>
  <c r="G81" i="5"/>
  <c r="J81" i="5" s="1"/>
  <c r="M81" i="5" s="1"/>
  <c r="P81" i="5" s="1"/>
  <c r="G77" i="5"/>
  <c r="J77" i="5" s="1"/>
  <c r="M77" i="5" s="1"/>
  <c r="P77" i="5" s="1"/>
  <c r="G86" i="5"/>
  <c r="J86" i="5" s="1"/>
  <c r="M86" i="5" s="1"/>
  <c r="P86" i="5" s="1"/>
  <c r="E233" i="5"/>
  <c r="E239" i="5"/>
  <c r="E267" i="5"/>
  <c r="B21" i="6"/>
  <c r="D20" i="6"/>
  <c r="E241" i="5"/>
  <c r="F21" i="5"/>
  <c r="I20" i="5"/>
  <c r="L20" i="5" s="1"/>
  <c r="O20" i="5" s="1"/>
  <c r="E240" i="5"/>
  <c r="E238" i="5"/>
  <c r="E232" i="5"/>
  <c r="G67" i="5" l="1"/>
  <c r="J67" i="5" s="1"/>
  <c r="M67" i="5" s="1"/>
  <c r="P67" i="5" s="1"/>
  <c r="G64" i="5"/>
  <c r="J64" i="5" s="1"/>
  <c r="M64" i="5" s="1"/>
  <c r="P64" i="5" s="1"/>
  <c r="G71" i="5"/>
  <c r="J71" i="5" s="1"/>
  <c r="M71" i="5" s="1"/>
  <c r="P71" i="5" s="1"/>
  <c r="G75" i="5"/>
  <c r="J75" i="5" s="1"/>
  <c r="M75" i="5" s="1"/>
  <c r="P75" i="5" s="1"/>
  <c r="G68" i="5"/>
  <c r="J68" i="5" s="1"/>
  <c r="M68" i="5" s="1"/>
  <c r="P68" i="5" s="1"/>
  <c r="G65" i="5"/>
  <c r="J65" i="5" s="1"/>
  <c r="M65" i="5" s="1"/>
  <c r="P65" i="5" s="1"/>
  <c r="G70" i="5"/>
  <c r="J70" i="5" s="1"/>
  <c r="M70" i="5" s="1"/>
  <c r="P70" i="5" s="1"/>
  <c r="G72" i="5"/>
  <c r="J72" i="5" s="1"/>
  <c r="M72" i="5" s="1"/>
  <c r="P72" i="5" s="1"/>
  <c r="G74" i="5"/>
  <c r="J74" i="5" s="1"/>
  <c r="M74" i="5" s="1"/>
  <c r="P74" i="5" s="1"/>
  <c r="G73" i="5"/>
  <c r="J73" i="5" s="1"/>
  <c r="M73" i="5" s="1"/>
  <c r="P73" i="5" s="1"/>
  <c r="G69" i="5"/>
  <c r="J69" i="5" s="1"/>
  <c r="M69" i="5" s="1"/>
  <c r="P69" i="5" s="1"/>
  <c r="G66" i="5"/>
  <c r="J66" i="5" s="1"/>
  <c r="M66" i="5" s="1"/>
  <c r="P66" i="5" s="1"/>
  <c r="AJ13" i="6"/>
  <c r="AZ13" i="6" s="1"/>
  <c r="BA13" i="6" s="1"/>
  <c r="BI13" i="6" s="1"/>
  <c r="BY13" i="6" s="1"/>
  <c r="CF13" i="6" s="1"/>
  <c r="CG13" i="6" s="1"/>
  <c r="AG13" i="6"/>
  <c r="AS13" i="6" s="1"/>
  <c r="AT13" i="6" s="1"/>
  <c r="BE13" i="6" s="1"/>
  <c r="BM13" i="6" s="1"/>
  <c r="BT13" i="6" s="1"/>
  <c r="BU13" i="6" s="1"/>
  <c r="AF13" i="6"/>
  <c r="AQ13" i="6" s="1"/>
  <c r="AR13" i="6" s="1"/>
  <c r="BD13" i="6" s="1"/>
  <c r="BL13" i="6" s="1"/>
  <c r="BR13" i="6" s="1"/>
  <c r="BS13" i="6" s="1"/>
  <c r="AI13" i="6"/>
  <c r="AX13" i="6" s="1"/>
  <c r="AY13" i="6" s="1"/>
  <c r="BH13" i="6" s="1"/>
  <c r="BX13" i="6" s="1"/>
  <c r="CD13" i="6" s="1"/>
  <c r="CE13" i="6" s="1"/>
  <c r="BV12" i="6"/>
  <c r="BZ12" i="6" s="1"/>
  <c r="CA12" i="6" s="1"/>
  <c r="DA12" i="6"/>
  <c r="AE14" i="6"/>
  <c r="AN14" i="6" s="1"/>
  <c r="AH14" i="6"/>
  <c r="AU14" i="6" s="1"/>
  <c r="O14" i="6"/>
  <c r="K14" i="6"/>
  <c r="G15" i="6"/>
  <c r="CJ12" i="6"/>
  <c r="BJ12" i="6"/>
  <c r="BN12" i="6" s="1"/>
  <c r="BO12" i="6" s="1"/>
  <c r="AP13" i="6"/>
  <c r="BC13" i="6" s="1"/>
  <c r="BK13" i="6" s="1"/>
  <c r="BP13" i="6" s="1"/>
  <c r="BQ13" i="6" s="1"/>
  <c r="AO13" i="6"/>
  <c r="BB13" i="6" s="1"/>
  <c r="AV13" i="6"/>
  <c r="BF13" i="6" s="1"/>
  <c r="AW13" i="6"/>
  <c r="BG13" i="6" s="1"/>
  <c r="BW13" i="6" s="1"/>
  <c r="CB13" i="6" s="1"/>
  <c r="CC13" i="6" s="1"/>
  <c r="O19" i="5"/>
  <c r="E250" i="5"/>
  <c r="E252" i="5"/>
  <c r="I21" i="5"/>
  <c r="L21" i="5" s="1"/>
  <c r="O21" i="5" s="1"/>
  <c r="F22" i="5"/>
  <c r="E251" i="5"/>
  <c r="E246" i="5"/>
  <c r="E254" i="5"/>
  <c r="E253" i="5"/>
  <c r="E245" i="5"/>
  <c r="E249" i="5"/>
  <c r="E244" i="5"/>
  <c r="E271" i="5"/>
  <c r="E279" i="5"/>
  <c r="D21" i="6"/>
  <c r="B22" i="6"/>
  <c r="E260" i="5"/>
  <c r="DE12" i="6" l="1"/>
  <c r="DS12" i="6"/>
  <c r="DC12" i="6"/>
  <c r="DD12" i="6"/>
  <c r="DB12" i="6"/>
  <c r="CN12" i="6"/>
  <c r="CK12" i="6"/>
  <c r="CL12" i="6"/>
  <c r="CM12" i="6"/>
  <c r="O15" i="6"/>
  <c r="AH15" i="6"/>
  <c r="AU15" i="6" s="1"/>
  <c r="AE15" i="6"/>
  <c r="AN15" i="6" s="1"/>
  <c r="G16" i="6"/>
  <c r="K73" i="6"/>
  <c r="AI14" i="6"/>
  <c r="AX14" i="6" s="1"/>
  <c r="AY14" i="6" s="1"/>
  <c r="BH14" i="6" s="1"/>
  <c r="AF14" i="6"/>
  <c r="AQ14" i="6" s="1"/>
  <c r="AR14" i="6" s="1"/>
  <c r="BD14" i="6" s="1"/>
  <c r="AJ14" i="6"/>
  <c r="AZ14" i="6" s="1"/>
  <c r="BA14" i="6" s="1"/>
  <c r="AG14" i="6"/>
  <c r="AS14" i="6" s="1"/>
  <c r="AT14" i="6" s="1"/>
  <c r="O73" i="6"/>
  <c r="BV13" i="6"/>
  <c r="BZ13" i="6" s="1"/>
  <c r="CA13" i="6" s="1"/>
  <c r="DA13" i="6"/>
  <c r="AV14" i="6"/>
  <c r="BF14" i="6" s="1"/>
  <c r="AW14" i="6"/>
  <c r="BG14" i="6" s="1"/>
  <c r="BW14" i="6" s="1"/>
  <c r="CJ13" i="6"/>
  <c r="BJ13" i="6"/>
  <c r="BN13" i="6" s="1"/>
  <c r="BO13" i="6" s="1"/>
  <c r="AP14" i="6"/>
  <c r="BC14" i="6" s="1"/>
  <c r="BK14" i="6" s="1"/>
  <c r="AO14" i="6"/>
  <c r="BB14" i="6" s="1"/>
  <c r="E283" i="5"/>
  <c r="E264" i="5"/>
  <c r="D22" i="6"/>
  <c r="B23" i="6"/>
  <c r="E263" i="5"/>
  <c r="E272" i="5"/>
  <c r="E291" i="5"/>
  <c r="E261" i="5"/>
  <c r="E266" i="5"/>
  <c r="E258" i="5"/>
  <c r="I22" i="5"/>
  <c r="L22" i="5" s="1"/>
  <c r="F23" i="5"/>
  <c r="E262" i="5"/>
  <c r="E256" i="5"/>
  <c r="E257" i="5"/>
  <c r="E265" i="5"/>
  <c r="BV14" i="6" l="1"/>
  <c r="DA14" i="6"/>
  <c r="DE13" i="6"/>
  <c r="DC13" i="6"/>
  <c r="DB13" i="6"/>
  <c r="DS13" i="6"/>
  <c r="DD13" i="6"/>
  <c r="O16" i="6"/>
  <c r="AE16" i="6"/>
  <c r="AN16" i="6" s="1"/>
  <c r="AH16" i="6"/>
  <c r="AU16" i="6" s="1"/>
  <c r="G17" i="6"/>
  <c r="BW73" i="6"/>
  <c r="CB14" i="6"/>
  <c r="AO15" i="6"/>
  <c r="BB15" i="6" s="1"/>
  <c r="AP15" i="6"/>
  <c r="BC15" i="6" s="1"/>
  <c r="BK15" i="6" s="1"/>
  <c r="BP15" i="6" s="1"/>
  <c r="BJ14" i="6"/>
  <c r="CJ14" i="6"/>
  <c r="AW15" i="6"/>
  <c r="BG15" i="6" s="1"/>
  <c r="BW15" i="6" s="1"/>
  <c r="CB15" i="6" s="1"/>
  <c r="AV15" i="6"/>
  <c r="BF15" i="6" s="1"/>
  <c r="BK73" i="6"/>
  <c r="BP14" i="6"/>
  <c r="BE14" i="6"/>
  <c r="AT73" i="6"/>
  <c r="AG15" i="6"/>
  <c r="AS15" i="6" s="1"/>
  <c r="AT15" i="6" s="1"/>
  <c r="BE15" i="6" s="1"/>
  <c r="BM15" i="6" s="1"/>
  <c r="BT15" i="6" s="1"/>
  <c r="AJ15" i="6"/>
  <c r="AZ15" i="6" s="1"/>
  <c r="BA15" i="6" s="1"/>
  <c r="BI15" i="6" s="1"/>
  <c r="BY15" i="6" s="1"/>
  <c r="CF15" i="6" s="1"/>
  <c r="G95" i="5"/>
  <c r="J95" i="5" s="1"/>
  <c r="M95" i="5" s="1"/>
  <c r="P95" i="5" s="1"/>
  <c r="G89" i="5"/>
  <c r="J89" i="5" s="1"/>
  <c r="M89" i="5" s="1"/>
  <c r="P89" i="5" s="1"/>
  <c r="G88" i="5"/>
  <c r="J88" i="5" s="1"/>
  <c r="M88" i="5" s="1"/>
  <c r="P88" i="5" s="1"/>
  <c r="G96" i="5"/>
  <c r="J96" i="5" s="1"/>
  <c r="M96" i="5" s="1"/>
  <c r="P96" i="5" s="1"/>
  <c r="G93" i="5"/>
  <c r="J93" i="5" s="1"/>
  <c r="M93" i="5" s="1"/>
  <c r="P93" i="5" s="1"/>
  <c r="G90" i="5"/>
  <c r="J90" i="5" s="1"/>
  <c r="M90" i="5" s="1"/>
  <c r="P90" i="5" s="1"/>
  <c r="G98" i="5"/>
  <c r="J98" i="5" s="1"/>
  <c r="M98" i="5" s="1"/>
  <c r="P98" i="5" s="1"/>
  <c r="G91" i="5"/>
  <c r="J91" i="5" s="1"/>
  <c r="M91" i="5" s="1"/>
  <c r="P91" i="5" s="1"/>
  <c r="G94" i="5"/>
  <c r="J94" i="5" s="1"/>
  <c r="M94" i="5" s="1"/>
  <c r="P94" i="5" s="1"/>
  <c r="G92" i="5"/>
  <c r="J92" i="5" s="1"/>
  <c r="M92" i="5" s="1"/>
  <c r="P92" i="5" s="1"/>
  <c r="G99" i="5"/>
  <c r="J99" i="5" s="1"/>
  <c r="M99" i="5" s="1"/>
  <c r="P99" i="5" s="1"/>
  <c r="G97" i="5"/>
  <c r="J97" i="5" s="1"/>
  <c r="M97" i="5" s="1"/>
  <c r="P97" i="5" s="1"/>
  <c r="BH73" i="6"/>
  <c r="BX14" i="6"/>
  <c r="BI14" i="6"/>
  <c r="BA73" i="6"/>
  <c r="CK13" i="6"/>
  <c r="CM13" i="6"/>
  <c r="CN13" i="6"/>
  <c r="CL13" i="6"/>
  <c r="BD73" i="6"/>
  <c r="BL14" i="6"/>
  <c r="O22" i="5"/>
  <c r="E284" i="5"/>
  <c r="D23" i="6"/>
  <c r="B24" i="6"/>
  <c r="E270" i="5"/>
  <c r="E268" i="5"/>
  <c r="E274" i="5"/>
  <c r="E277" i="5"/>
  <c r="I23" i="5"/>
  <c r="F24" i="5"/>
  <c r="E275" i="5"/>
  <c r="E276" i="5"/>
  <c r="E269" i="5"/>
  <c r="E278" i="5"/>
  <c r="E273" i="5"/>
  <c r="E295" i="5"/>
  <c r="E303" i="5"/>
  <c r="BN14" i="6" l="1"/>
  <c r="BJ73" i="6"/>
  <c r="AG16" i="6"/>
  <c r="AS16" i="6" s="1"/>
  <c r="AT16" i="6" s="1"/>
  <c r="BE16" i="6" s="1"/>
  <c r="BM16" i="6" s="1"/>
  <c r="BT16" i="6" s="1"/>
  <c r="AJ16" i="6"/>
  <c r="AZ16" i="6" s="1"/>
  <c r="BA16" i="6" s="1"/>
  <c r="BI16" i="6" s="1"/>
  <c r="BY16" i="6" s="1"/>
  <c r="CF16" i="6" s="1"/>
  <c r="BL73" i="6"/>
  <c r="BR14" i="6"/>
  <c r="BE73" i="6"/>
  <c r="BM14" i="6"/>
  <c r="CJ15" i="6"/>
  <c r="BJ15" i="6"/>
  <c r="BN15" i="6" s="1"/>
  <c r="G109" i="5"/>
  <c r="J109" i="5" s="1"/>
  <c r="M109" i="5" s="1"/>
  <c r="P109" i="5" s="1"/>
  <c r="G108" i="5"/>
  <c r="J108" i="5" s="1"/>
  <c r="M108" i="5" s="1"/>
  <c r="P108" i="5" s="1"/>
  <c r="G103" i="5"/>
  <c r="J103" i="5" s="1"/>
  <c r="M103" i="5" s="1"/>
  <c r="P103" i="5" s="1"/>
  <c r="G107" i="5"/>
  <c r="J107" i="5" s="1"/>
  <c r="M107" i="5" s="1"/>
  <c r="P107" i="5" s="1"/>
  <c r="G101" i="5"/>
  <c r="J101" i="5" s="1"/>
  <c r="M101" i="5" s="1"/>
  <c r="P101" i="5" s="1"/>
  <c r="G111" i="5"/>
  <c r="J111" i="5" s="1"/>
  <c r="M111" i="5" s="1"/>
  <c r="P111" i="5" s="1"/>
  <c r="G102" i="5"/>
  <c r="J102" i="5" s="1"/>
  <c r="M102" i="5" s="1"/>
  <c r="P102" i="5" s="1"/>
  <c r="G104" i="5"/>
  <c r="J104" i="5" s="1"/>
  <c r="M104" i="5" s="1"/>
  <c r="P104" i="5" s="1"/>
  <c r="G105" i="5"/>
  <c r="J105" i="5" s="1"/>
  <c r="M105" i="5" s="1"/>
  <c r="P105" i="5" s="1"/>
  <c r="G110" i="5"/>
  <c r="J110" i="5" s="1"/>
  <c r="M110" i="5" s="1"/>
  <c r="P110" i="5" s="1"/>
  <c r="G106" i="5"/>
  <c r="J106" i="5" s="1"/>
  <c r="M106" i="5" s="1"/>
  <c r="P106" i="5" s="1"/>
  <c r="G100" i="5"/>
  <c r="J100" i="5" s="1"/>
  <c r="M100" i="5" s="1"/>
  <c r="P100" i="5" s="1"/>
  <c r="BI73" i="6"/>
  <c r="BY14" i="6"/>
  <c r="BP73" i="6"/>
  <c r="BQ14" i="6"/>
  <c r="CB73" i="6"/>
  <c r="CC14" i="6"/>
  <c r="BX73" i="6"/>
  <c r="CD14" i="6"/>
  <c r="DA15" i="6"/>
  <c r="BV15" i="6"/>
  <c r="BZ15" i="6" s="1"/>
  <c r="AH17" i="6"/>
  <c r="AU17" i="6" s="1"/>
  <c r="G18" i="6"/>
  <c r="O17" i="6"/>
  <c r="AE17" i="6"/>
  <c r="AN17" i="6" s="1"/>
  <c r="AW16" i="6"/>
  <c r="BG16" i="6" s="1"/>
  <c r="BW16" i="6" s="1"/>
  <c r="CB16" i="6" s="1"/>
  <c r="AV16" i="6"/>
  <c r="BF16" i="6" s="1"/>
  <c r="CZ73" i="6"/>
  <c r="DE14" i="6"/>
  <c r="DE73" i="6" s="1"/>
  <c r="DD14" i="6"/>
  <c r="DD73" i="6" s="1"/>
  <c r="DC14" i="6"/>
  <c r="DC73" i="6" s="1"/>
  <c r="DB14" i="6"/>
  <c r="DS14" i="6"/>
  <c r="CM14" i="6"/>
  <c r="CL73" i="6" s="1"/>
  <c r="CJ73" i="6"/>
  <c r="CK14" i="6"/>
  <c r="CL14" i="6"/>
  <c r="CK73" i="6" s="1"/>
  <c r="CN14" i="6"/>
  <c r="CM73" i="6" s="1"/>
  <c r="AP16" i="6"/>
  <c r="BC16" i="6" s="1"/>
  <c r="BK16" i="6" s="1"/>
  <c r="BP16" i="6" s="1"/>
  <c r="AO16" i="6"/>
  <c r="BB16" i="6" s="1"/>
  <c r="BV73" i="6"/>
  <c r="BZ14" i="6"/>
  <c r="L23" i="5"/>
  <c r="E280" i="5"/>
  <c r="E285" i="5"/>
  <c r="E282" i="5"/>
  <c r="E288" i="5"/>
  <c r="E315" i="5"/>
  <c r="E307" i="5"/>
  <c r="E290" i="5"/>
  <c r="E287" i="5"/>
  <c r="I24" i="5"/>
  <c r="L24" i="5" s="1"/>
  <c r="O24" i="5" s="1"/>
  <c r="F25" i="5"/>
  <c r="D24" i="6"/>
  <c r="H51" i="2" s="1"/>
  <c r="B25" i="6"/>
  <c r="E281" i="5"/>
  <c r="E289" i="5"/>
  <c r="E286" i="5"/>
  <c r="E296" i="5"/>
  <c r="DA16" i="6" l="1"/>
  <c r="BV16" i="6"/>
  <c r="BZ16" i="6" s="1"/>
  <c r="CD73" i="6"/>
  <c r="CE14" i="6"/>
  <c r="BR73" i="6"/>
  <c r="BS14" i="6"/>
  <c r="BY73" i="6"/>
  <c r="CF14" i="6"/>
  <c r="BZ73" i="6"/>
  <c r="CA14" i="6"/>
  <c r="CK16" i="6" a="1"/>
  <c r="CK16" i="6" s="1"/>
  <c r="DA73" i="6"/>
  <c r="G123" i="5"/>
  <c r="J123" i="5" s="1"/>
  <c r="M123" i="5" s="1"/>
  <c r="P123" i="5" s="1"/>
  <c r="G116" i="5"/>
  <c r="J116" i="5" s="1"/>
  <c r="M116" i="5" s="1"/>
  <c r="P116" i="5" s="1"/>
  <c r="G122" i="5"/>
  <c r="J122" i="5" s="1"/>
  <c r="M122" i="5" s="1"/>
  <c r="P122" i="5" s="1"/>
  <c r="G114" i="5"/>
  <c r="J114" i="5" s="1"/>
  <c r="M114" i="5" s="1"/>
  <c r="P114" i="5" s="1"/>
  <c r="DS73" i="6"/>
  <c r="G115" i="5"/>
  <c r="J115" i="5" s="1"/>
  <c r="M115" i="5" s="1"/>
  <c r="P115" i="5" s="1"/>
  <c r="G117" i="5"/>
  <c r="J117" i="5" s="1"/>
  <c r="M117" i="5" s="1"/>
  <c r="P117" i="5" s="1"/>
  <c r="G113" i="5"/>
  <c r="J113" i="5" s="1"/>
  <c r="M113" i="5" s="1"/>
  <c r="P113" i="5" s="1"/>
  <c r="G121" i="5"/>
  <c r="J121" i="5" s="1"/>
  <c r="M121" i="5" s="1"/>
  <c r="P121" i="5" s="1"/>
  <c r="G118" i="5"/>
  <c r="J118" i="5" s="1"/>
  <c r="M118" i="5" s="1"/>
  <c r="P118" i="5" s="1"/>
  <c r="G120" i="5"/>
  <c r="J120" i="5" s="1"/>
  <c r="M120" i="5" s="1"/>
  <c r="P120" i="5" s="1"/>
  <c r="G119" i="5"/>
  <c r="J119" i="5" s="1"/>
  <c r="M119" i="5" s="1"/>
  <c r="P119" i="5" s="1"/>
  <c r="G112" i="5"/>
  <c r="J112" i="5" s="1"/>
  <c r="M112" i="5" s="1"/>
  <c r="P112" i="5" s="1"/>
  <c r="AP17" i="6"/>
  <c r="BC17" i="6" s="1"/>
  <c r="BK17" i="6" s="1"/>
  <c r="BP17" i="6" s="1"/>
  <c r="AO17" i="6"/>
  <c r="BB17" i="6" s="1"/>
  <c r="CC73" i="6"/>
  <c r="CC15" i="6"/>
  <c r="CC16" i="6" s="1"/>
  <c r="CJ16" i="6"/>
  <c r="BJ16" i="6"/>
  <c r="BN16" i="6" s="1"/>
  <c r="DB73" i="6"/>
  <c r="DB16" i="6" a="1"/>
  <c r="DB16" i="6" s="1"/>
  <c r="AJ17" i="6"/>
  <c r="AZ17" i="6" s="1"/>
  <c r="BA17" i="6" s="1"/>
  <c r="BI17" i="6" s="1"/>
  <c r="BY17" i="6" s="1"/>
  <c r="CF17" i="6" s="1"/>
  <c r="AG17" i="6"/>
  <c r="AS17" i="6" s="1"/>
  <c r="AT17" i="6" s="1"/>
  <c r="BE17" i="6" s="1"/>
  <c r="BM17" i="6" s="1"/>
  <c r="BT17" i="6" s="1"/>
  <c r="BT14" i="6"/>
  <c r="BM73" i="6"/>
  <c r="AE18" i="6"/>
  <c r="AN18" i="6" s="1"/>
  <c r="AH18" i="6"/>
  <c r="AU18" i="6" s="1"/>
  <c r="O18" i="6"/>
  <c r="G19" i="6"/>
  <c r="BQ73" i="6"/>
  <c r="BQ15" i="6"/>
  <c r="BQ16" i="6" s="1"/>
  <c r="DE15" i="6"/>
  <c r="DC15" i="6"/>
  <c r="DS15" i="6"/>
  <c r="DD15" i="6"/>
  <c r="AV17" i="6"/>
  <c r="BF17" i="6" s="1"/>
  <c r="AW17" i="6"/>
  <c r="BG17" i="6" s="1"/>
  <c r="BW17" i="6" s="1"/>
  <c r="CB17" i="6" s="1"/>
  <c r="CM15" i="6"/>
  <c r="CL15" i="6"/>
  <c r="CN15" i="6"/>
  <c r="BN73" i="6"/>
  <c r="BO14" i="6"/>
  <c r="I50" i="2" s="1"/>
  <c r="P124" i="5" s="1"/>
  <c r="O23" i="5"/>
  <c r="E308" i="5"/>
  <c r="E293" i="5"/>
  <c r="B26" i="6"/>
  <c r="D25" i="6"/>
  <c r="I25" i="5"/>
  <c r="L25" i="5" s="1"/>
  <c r="O25" i="5" s="1"/>
  <c r="F26" i="5"/>
  <c r="E297" i="5"/>
  <c r="E327" i="5"/>
  <c r="E294" i="5"/>
  <c r="E292" i="5"/>
  <c r="E301" i="5"/>
  <c r="E299" i="5"/>
  <c r="E300" i="5"/>
  <c r="E298" i="5"/>
  <c r="E319" i="5"/>
  <c r="E302" i="5"/>
  <c r="L50" i="2" l="1"/>
  <c r="N50" i="2"/>
  <c r="BQ17" i="6"/>
  <c r="CF73" i="6"/>
  <c r="CG14" i="6"/>
  <c r="AW18" i="6"/>
  <c r="BG18" i="6" s="1"/>
  <c r="BW18" i="6" s="1"/>
  <c r="CB18" i="6" s="1"/>
  <c r="AV18" i="6"/>
  <c r="BF18" i="6" s="1"/>
  <c r="CC17" i="6"/>
  <c r="DA17" i="6"/>
  <c r="BV17" i="6"/>
  <c r="BZ17" i="6" s="1"/>
  <c r="BO15" i="6"/>
  <c r="BO16" i="6" s="1"/>
  <c r="BO73" i="6"/>
  <c r="G126" i="5"/>
  <c r="J126" i="5" s="1"/>
  <c r="M126" i="5" s="1"/>
  <c r="G134" i="5"/>
  <c r="J134" i="5" s="1"/>
  <c r="M134" i="5" s="1"/>
  <c r="G133" i="5"/>
  <c r="J133" i="5" s="1"/>
  <c r="M133" i="5" s="1"/>
  <c r="G130" i="5"/>
  <c r="J130" i="5" s="1"/>
  <c r="M130" i="5" s="1"/>
  <c r="G129" i="5"/>
  <c r="J129" i="5" s="1"/>
  <c r="M129" i="5" s="1"/>
  <c r="G131" i="5"/>
  <c r="J131" i="5" s="1"/>
  <c r="M131" i="5" s="1"/>
  <c r="G124" i="5"/>
  <c r="J124" i="5" s="1"/>
  <c r="M124" i="5" s="1"/>
  <c r="G135" i="5"/>
  <c r="J135" i="5" s="1"/>
  <c r="M135" i="5" s="1"/>
  <c r="G132" i="5"/>
  <c r="J132" i="5" s="1"/>
  <c r="M132" i="5" s="1"/>
  <c r="G128" i="5"/>
  <c r="J128" i="5" s="1"/>
  <c r="M128" i="5" s="1"/>
  <c r="G127" i="5"/>
  <c r="J127" i="5" s="1"/>
  <c r="M127" i="5" s="1"/>
  <c r="G125" i="5"/>
  <c r="J125" i="5" s="1"/>
  <c r="M125" i="5" s="1"/>
  <c r="AP18" i="6"/>
  <c r="BC18" i="6" s="1"/>
  <c r="BK18" i="6" s="1"/>
  <c r="BP18" i="6" s="1"/>
  <c r="AO18" i="6"/>
  <c r="BB18" i="6" s="1"/>
  <c r="CN16" i="6"/>
  <c r="CM16" i="6"/>
  <c r="CL16" i="6"/>
  <c r="BS15" i="6"/>
  <c r="BS16" i="6" s="1"/>
  <c r="BS17" i="6" s="1"/>
  <c r="BS18" i="6" s="1"/>
  <c r="BS19" i="6" s="1"/>
  <c r="BS20" i="6" s="1"/>
  <c r="BS21" i="6" s="1"/>
  <c r="BS22" i="6" s="1"/>
  <c r="BS23" i="6" s="1"/>
  <c r="BS24" i="6" s="1"/>
  <c r="BS25" i="6" s="1"/>
  <c r="BS26" i="6" s="1"/>
  <c r="BS27" i="6" s="1"/>
  <c r="BS28" i="6" s="1"/>
  <c r="BS29" i="6" s="1"/>
  <c r="BS30" i="6" s="1"/>
  <c r="BS31" i="6" s="1"/>
  <c r="BS32" i="6" s="1"/>
  <c r="BS33" i="6" s="1"/>
  <c r="BS34" i="6" s="1"/>
  <c r="BS35" i="6" s="1"/>
  <c r="BS36" i="6" s="1"/>
  <c r="BS37" i="6" s="1"/>
  <c r="BS38" i="6" s="1"/>
  <c r="BS39" i="6" s="1"/>
  <c r="BS40" i="6" s="1"/>
  <c r="BS41" i="6" s="1"/>
  <c r="BS42" i="6" s="1"/>
  <c r="BS43" i="6" s="1"/>
  <c r="BS44" i="6" s="1"/>
  <c r="BS45" i="6" s="1"/>
  <c r="BS46" i="6" s="1"/>
  <c r="BS47" i="6" s="1"/>
  <c r="BS48" i="6" s="1"/>
  <c r="BS49" i="6" s="1"/>
  <c r="BS50" i="6" s="1"/>
  <c r="BS51" i="6" s="1"/>
  <c r="BS52" i="6" s="1"/>
  <c r="BS53" i="6" s="1"/>
  <c r="BS54" i="6" s="1"/>
  <c r="BS73" i="6"/>
  <c r="BT73" i="6"/>
  <c r="BU14" i="6"/>
  <c r="CE73" i="6"/>
  <c r="CE15" i="6"/>
  <c r="CE16" i="6" s="1"/>
  <c r="CE17" i="6" s="1"/>
  <c r="CE18" i="6" s="1"/>
  <c r="CE19" i="6" s="1"/>
  <c r="CE20" i="6" s="1"/>
  <c r="CE21" i="6" s="1"/>
  <c r="CE22" i="6" s="1"/>
  <c r="CE23" i="6" s="1"/>
  <c r="CE24" i="6" s="1"/>
  <c r="CE25" i="6" s="1"/>
  <c r="CE26" i="6" s="1"/>
  <c r="CE27" i="6" s="1"/>
  <c r="CE28" i="6" s="1"/>
  <c r="CE29" i="6" s="1"/>
  <c r="CE30" i="6" s="1"/>
  <c r="CE31" i="6" s="1"/>
  <c r="CE32" i="6" s="1"/>
  <c r="CE33" i="6" s="1"/>
  <c r="CE34" i="6" s="1"/>
  <c r="CE35" i="6" s="1"/>
  <c r="CE36" i="6" s="1"/>
  <c r="CE37" i="6" s="1"/>
  <c r="CE38" i="6" s="1"/>
  <c r="CE39" i="6" s="1"/>
  <c r="CE40" i="6" s="1"/>
  <c r="CE41" i="6" s="1"/>
  <c r="CE42" i="6" s="1"/>
  <c r="CE43" i="6" s="1"/>
  <c r="CE44" i="6" s="1"/>
  <c r="CE45" i="6" s="1"/>
  <c r="CE46" i="6" s="1"/>
  <c r="CE47" i="6" s="1"/>
  <c r="CE48" i="6" s="1"/>
  <c r="CE49" i="6" s="1"/>
  <c r="CE50" i="6" s="1"/>
  <c r="CE51" i="6" s="1"/>
  <c r="CE52" i="6" s="1"/>
  <c r="CE53" i="6" s="1"/>
  <c r="CE54" i="6" s="1"/>
  <c r="O19" i="6"/>
  <c r="AH19" i="6"/>
  <c r="AU19" i="6" s="1"/>
  <c r="AE19" i="6"/>
  <c r="AN19" i="6" s="1"/>
  <c r="G20" i="6"/>
  <c r="AJ18" i="6"/>
  <c r="AZ18" i="6" s="1"/>
  <c r="BA18" i="6" s="1"/>
  <c r="BI18" i="6" s="1"/>
  <c r="BY18" i="6" s="1"/>
  <c r="CF18" i="6" s="1"/>
  <c r="AG18" i="6"/>
  <c r="AS18" i="6" s="1"/>
  <c r="AT18" i="6" s="1"/>
  <c r="BE18" i="6" s="1"/>
  <c r="BM18" i="6" s="1"/>
  <c r="BT18" i="6" s="1"/>
  <c r="BJ17" i="6"/>
  <c r="BN17" i="6" s="1"/>
  <c r="CJ17" i="6"/>
  <c r="CA15" i="6"/>
  <c r="CA16" i="6" s="1"/>
  <c r="CA73" i="6"/>
  <c r="I31" i="4"/>
  <c r="DC16" i="6"/>
  <c r="DS16" i="6"/>
  <c r="DE16" i="6"/>
  <c r="DD16" i="6"/>
  <c r="E310" i="5"/>
  <c r="E309" i="5"/>
  <c r="E305" i="5"/>
  <c r="E311" i="5"/>
  <c r="I26" i="5"/>
  <c r="L26" i="5" s="1"/>
  <c r="O26" i="5" s="1"/>
  <c r="F27" i="5"/>
  <c r="E304" i="5"/>
  <c r="E312" i="5"/>
  <c r="E306" i="5"/>
  <c r="E331" i="5"/>
  <c r="E313" i="5"/>
  <c r="E314" i="5"/>
  <c r="E339" i="5"/>
  <c r="D26" i="6"/>
  <c r="B27" i="6"/>
  <c r="E320" i="5"/>
  <c r="BQ18" i="6" l="1"/>
  <c r="BO17" i="6"/>
  <c r="CA17" i="6"/>
  <c r="CJ18" i="6"/>
  <c r="BJ18" i="6"/>
  <c r="BN18" i="6" s="1"/>
  <c r="G140" i="5"/>
  <c r="J140" i="5" s="1"/>
  <c r="M140" i="5" s="1"/>
  <c r="G146" i="5"/>
  <c r="J146" i="5" s="1"/>
  <c r="M146" i="5" s="1"/>
  <c r="G144" i="5"/>
  <c r="J144" i="5" s="1"/>
  <c r="M144" i="5" s="1"/>
  <c r="G136" i="5"/>
  <c r="J136" i="5" s="1"/>
  <c r="M136" i="5" s="1"/>
  <c r="G138" i="5"/>
  <c r="J138" i="5" s="1"/>
  <c r="M138" i="5" s="1"/>
  <c r="G147" i="5"/>
  <c r="J147" i="5" s="1"/>
  <c r="M147" i="5" s="1"/>
  <c r="G142" i="5"/>
  <c r="J142" i="5" s="1"/>
  <c r="M142" i="5" s="1"/>
  <c r="G137" i="5"/>
  <c r="J137" i="5" s="1"/>
  <c r="M137" i="5" s="1"/>
  <c r="G143" i="5"/>
  <c r="J143" i="5" s="1"/>
  <c r="M143" i="5" s="1"/>
  <c r="G141" i="5"/>
  <c r="J141" i="5" s="1"/>
  <c r="M141" i="5" s="1"/>
  <c r="G145" i="5"/>
  <c r="J145" i="5" s="1"/>
  <c r="M145" i="5" s="1"/>
  <c r="G139" i="5"/>
  <c r="J139" i="5" s="1"/>
  <c r="M139" i="5" s="1"/>
  <c r="BU15" i="6"/>
  <c r="BU16" i="6" s="1"/>
  <c r="BU17" i="6" s="1"/>
  <c r="BU18" i="6" s="1"/>
  <c r="BU73" i="6"/>
  <c r="DE17" i="6"/>
  <c r="DC17" i="6"/>
  <c r="DD17" i="6"/>
  <c r="DS17" i="6"/>
  <c r="CL17" i="6"/>
  <c r="CM17" i="6"/>
  <c r="CN17" i="6"/>
  <c r="CC18" i="6"/>
  <c r="AE20" i="6"/>
  <c r="AN20" i="6" s="1"/>
  <c r="AH20" i="6"/>
  <c r="AU20" i="6" s="1"/>
  <c r="G21" i="6"/>
  <c r="BV18" i="6"/>
  <c r="BZ18" i="6" s="1"/>
  <c r="DA18" i="6"/>
  <c r="AP19" i="6"/>
  <c r="BC19" i="6" s="1"/>
  <c r="BK19" i="6" s="1"/>
  <c r="BP19" i="6" s="1"/>
  <c r="BQ19" i="6" s="1"/>
  <c r="AO19" i="6"/>
  <c r="BB19" i="6" s="1"/>
  <c r="AV19" i="6"/>
  <c r="BF19" i="6" s="1"/>
  <c r="AW19" i="6"/>
  <c r="BG19" i="6" s="1"/>
  <c r="BW19" i="6" s="1"/>
  <c r="CB19" i="6" s="1"/>
  <c r="CG15" i="6"/>
  <c r="CG16" i="6" s="1"/>
  <c r="CG17" i="6" s="1"/>
  <c r="CG18" i="6" s="1"/>
  <c r="CG73" i="6"/>
  <c r="AJ19" i="6"/>
  <c r="AZ19" i="6" s="1"/>
  <c r="BA19" i="6" s="1"/>
  <c r="BI19" i="6" s="1"/>
  <c r="BY19" i="6" s="1"/>
  <c r="CF19" i="6" s="1"/>
  <c r="AG19" i="6"/>
  <c r="AS19" i="6" s="1"/>
  <c r="AT19" i="6" s="1"/>
  <c r="BE19" i="6" s="1"/>
  <c r="BM19" i="6" s="1"/>
  <c r="BT19" i="6" s="1"/>
  <c r="E322" i="5"/>
  <c r="E318" i="5"/>
  <c r="E332" i="5"/>
  <c r="B28" i="6"/>
  <c r="D27" i="6"/>
  <c r="E321" i="5"/>
  <c r="E323" i="5"/>
  <c r="E324" i="5"/>
  <c r="E316" i="5"/>
  <c r="I27" i="5"/>
  <c r="L27" i="5" s="1"/>
  <c r="F28" i="5"/>
  <c r="E317" i="5"/>
  <c r="E325" i="5"/>
  <c r="E351" i="5"/>
  <c r="E326" i="5"/>
  <c r="E343" i="5"/>
  <c r="CA18" i="6" l="1"/>
  <c r="BO18" i="6"/>
  <c r="CC19" i="6"/>
  <c r="BJ19" i="6"/>
  <c r="BN19" i="6" s="1"/>
  <c r="CJ19" i="6"/>
  <c r="BU19" i="6"/>
  <c r="BU20" i="6" s="1"/>
  <c r="BU21" i="6" s="1"/>
  <c r="BU22" i="6" s="1"/>
  <c r="BU23" i="6" s="1"/>
  <c r="BU24" i="6" s="1"/>
  <c r="BU25" i="6" s="1"/>
  <c r="BU26" i="6" s="1"/>
  <c r="BU27" i="6" s="1"/>
  <c r="BU28" i="6" s="1"/>
  <c r="BU29" i="6" s="1"/>
  <c r="BU30" i="6" s="1"/>
  <c r="BU31" i="6" s="1"/>
  <c r="BU32" i="6" s="1"/>
  <c r="BU33" i="6" s="1"/>
  <c r="BU34" i="6" s="1"/>
  <c r="BU35" i="6" s="1"/>
  <c r="BU36" i="6" s="1"/>
  <c r="BU37" i="6" s="1"/>
  <c r="BU38" i="6" s="1"/>
  <c r="BU39" i="6" s="1"/>
  <c r="BU40" i="6" s="1"/>
  <c r="BU41" i="6" s="1"/>
  <c r="BU42" i="6" s="1"/>
  <c r="BU43" i="6" s="1"/>
  <c r="BU44" i="6" s="1"/>
  <c r="BU45" i="6" s="1"/>
  <c r="BU46" i="6" s="1"/>
  <c r="BU47" i="6" s="1"/>
  <c r="BU48" i="6" s="1"/>
  <c r="BU49" i="6" s="1"/>
  <c r="BU50" i="6" s="1"/>
  <c r="BU51" i="6" s="1"/>
  <c r="BU52" i="6" s="1"/>
  <c r="BU53" i="6" s="1"/>
  <c r="BU54" i="6" s="1"/>
  <c r="DA19" i="6"/>
  <c r="BV19" i="6"/>
  <c r="BZ19" i="6" s="1"/>
  <c r="DC18" i="6"/>
  <c r="DS18" i="6"/>
  <c r="DE18" i="6"/>
  <c r="DD18" i="6"/>
  <c r="G153" i="5"/>
  <c r="J153" i="5" s="1"/>
  <c r="M153" i="5" s="1"/>
  <c r="G157" i="5"/>
  <c r="J157" i="5" s="1"/>
  <c r="M157" i="5" s="1"/>
  <c r="G149" i="5"/>
  <c r="J149" i="5" s="1"/>
  <c r="M149" i="5" s="1"/>
  <c r="G154" i="5"/>
  <c r="J154" i="5" s="1"/>
  <c r="M154" i="5" s="1"/>
  <c r="G151" i="5"/>
  <c r="J151" i="5" s="1"/>
  <c r="M151" i="5" s="1"/>
  <c r="G159" i="5"/>
  <c r="J159" i="5" s="1"/>
  <c r="M159" i="5" s="1"/>
  <c r="G150" i="5"/>
  <c r="J150" i="5" s="1"/>
  <c r="M150" i="5" s="1"/>
  <c r="G158" i="5"/>
  <c r="J158" i="5" s="1"/>
  <c r="M158" i="5" s="1"/>
  <c r="G148" i="5"/>
  <c r="J148" i="5" s="1"/>
  <c r="M148" i="5" s="1"/>
  <c r="G152" i="5"/>
  <c r="J152" i="5" s="1"/>
  <c r="M152" i="5" s="1"/>
  <c r="G156" i="5"/>
  <c r="J156" i="5" s="1"/>
  <c r="M156" i="5" s="1"/>
  <c r="G155" i="5"/>
  <c r="J155" i="5" s="1"/>
  <c r="M155" i="5" s="1"/>
  <c r="G22" i="6"/>
  <c r="AE21" i="6"/>
  <c r="AN21" i="6" s="1"/>
  <c r="AH21" i="6"/>
  <c r="AU21" i="6" s="1"/>
  <c r="CG19" i="6"/>
  <c r="CG20" i="6" s="1"/>
  <c r="CG21" i="6" s="1"/>
  <c r="CG22" i="6" s="1"/>
  <c r="CG23" i="6" s="1"/>
  <c r="CG24" i="6" s="1"/>
  <c r="CG25" i="6" s="1"/>
  <c r="CG26" i="6" s="1"/>
  <c r="CG27" i="6" s="1"/>
  <c r="CG28" i="6" s="1"/>
  <c r="CG29" i="6" s="1"/>
  <c r="CG30" i="6" s="1"/>
  <c r="CG31" i="6" s="1"/>
  <c r="CG32" i="6" s="1"/>
  <c r="CG33" i="6" s="1"/>
  <c r="CG34" i="6" s="1"/>
  <c r="CG35" i="6" s="1"/>
  <c r="CG36" i="6" s="1"/>
  <c r="CG37" i="6" s="1"/>
  <c r="CG38" i="6" s="1"/>
  <c r="CG39" i="6" s="1"/>
  <c r="CG40" i="6" s="1"/>
  <c r="CG41" i="6" s="1"/>
  <c r="CG42" i="6" s="1"/>
  <c r="CG43" i="6" s="1"/>
  <c r="CG44" i="6" s="1"/>
  <c r="CG45" i="6" s="1"/>
  <c r="CG46" i="6" s="1"/>
  <c r="CG47" i="6" s="1"/>
  <c r="CG48" i="6" s="1"/>
  <c r="CG49" i="6" s="1"/>
  <c r="CG50" i="6" s="1"/>
  <c r="CG51" i="6" s="1"/>
  <c r="CG52" i="6" s="1"/>
  <c r="CG53" i="6" s="1"/>
  <c r="CG54" i="6" s="1"/>
  <c r="AW20" i="6"/>
  <c r="BG20" i="6" s="1"/>
  <c r="BW20" i="6" s="1"/>
  <c r="CB20" i="6" s="1"/>
  <c r="AV20" i="6"/>
  <c r="BF20" i="6" s="1"/>
  <c r="AO20" i="6"/>
  <c r="BB20" i="6" s="1"/>
  <c r="AP20" i="6"/>
  <c r="BC20" i="6" s="1"/>
  <c r="BK20" i="6" s="1"/>
  <c r="BP20" i="6" s="1"/>
  <c r="BQ20" i="6" s="1"/>
  <c r="CN18" i="6"/>
  <c r="CM18" i="6"/>
  <c r="CL18" i="6"/>
  <c r="O27" i="5"/>
  <c r="E330" i="5"/>
  <c r="E336" i="5"/>
  <c r="E333" i="5"/>
  <c r="E363" i="5"/>
  <c r="E329" i="5"/>
  <c r="E338" i="5"/>
  <c r="F29" i="5"/>
  <c r="I28" i="5"/>
  <c r="L28" i="5" s="1"/>
  <c r="O28" i="5" s="1"/>
  <c r="B29" i="6"/>
  <c r="D28" i="6"/>
  <c r="E334" i="5"/>
  <c r="E344" i="5"/>
  <c r="E337" i="5"/>
  <c r="E355" i="5"/>
  <c r="E328" i="5"/>
  <c r="E335" i="5"/>
  <c r="CA19" i="6" l="1"/>
  <c r="BO19" i="6"/>
  <c r="CC20" i="6"/>
  <c r="AP21" i="6"/>
  <c r="BC21" i="6" s="1"/>
  <c r="BK21" i="6" s="1"/>
  <c r="BP21" i="6" s="1"/>
  <c r="BQ21" i="6" s="1"/>
  <c r="AO21" i="6"/>
  <c r="BB21" i="6" s="1"/>
  <c r="G160" i="5"/>
  <c r="J160" i="5" s="1"/>
  <c r="M160" i="5" s="1"/>
  <c r="G165" i="5"/>
  <c r="J165" i="5" s="1"/>
  <c r="M165" i="5" s="1"/>
  <c r="G169" i="5"/>
  <c r="J169" i="5" s="1"/>
  <c r="M169" i="5" s="1"/>
  <c r="G168" i="5"/>
  <c r="J168" i="5" s="1"/>
  <c r="M168" i="5" s="1"/>
  <c r="G171" i="5"/>
  <c r="J171" i="5" s="1"/>
  <c r="M171" i="5" s="1"/>
  <c r="G170" i="5"/>
  <c r="J170" i="5" s="1"/>
  <c r="M170" i="5" s="1"/>
  <c r="G163" i="5"/>
  <c r="J163" i="5" s="1"/>
  <c r="M163" i="5" s="1"/>
  <c r="G166" i="5"/>
  <c r="J166" i="5" s="1"/>
  <c r="M166" i="5" s="1"/>
  <c r="G164" i="5"/>
  <c r="J164" i="5" s="1"/>
  <c r="M164" i="5" s="1"/>
  <c r="G167" i="5"/>
  <c r="J167" i="5" s="1"/>
  <c r="M167" i="5" s="1"/>
  <c r="G162" i="5"/>
  <c r="J162" i="5" s="1"/>
  <c r="M162" i="5" s="1"/>
  <c r="G161" i="5"/>
  <c r="J161" i="5" s="1"/>
  <c r="M161" i="5" s="1"/>
  <c r="AH22" i="6"/>
  <c r="AU22" i="6" s="1"/>
  <c r="AE22" i="6"/>
  <c r="AN22" i="6" s="1"/>
  <c r="G23" i="6"/>
  <c r="BJ20" i="6"/>
  <c r="BN20" i="6" s="1"/>
  <c r="CJ20" i="6"/>
  <c r="DE19" i="6"/>
  <c r="DD19" i="6"/>
  <c r="DC19" i="6"/>
  <c r="DS19" i="6"/>
  <c r="BV20" i="6"/>
  <c r="BZ20" i="6" s="1"/>
  <c r="DA20" i="6"/>
  <c r="CM19" i="6"/>
  <c r="CN19" i="6"/>
  <c r="CL19" i="6"/>
  <c r="AW21" i="6"/>
  <c r="BG21" i="6" s="1"/>
  <c r="BW21" i="6" s="1"/>
  <c r="CB21" i="6" s="1"/>
  <c r="AV21" i="6"/>
  <c r="BF21" i="6" s="1"/>
  <c r="E340" i="5"/>
  <c r="E367" i="5"/>
  <c r="D29" i="6"/>
  <c r="B30" i="6"/>
  <c r="E345" i="5"/>
  <c r="E342" i="5"/>
  <c r="E346" i="5"/>
  <c r="I29" i="5"/>
  <c r="L29" i="5" s="1"/>
  <c r="O29" i="5" s="1"/>
  <c r="F30" i="5"/>
  <c r="E341" i="5"/>
  <c r="E348" i="5"/>
  <c r="E349" i="5"/>
  <c r="E350" i="5"/>
  <c r="E347" i="5"/>
  <c r="E356" i="5"/>
  <c r="E375" i="5"/>
  <c r="CA20" i="6" l="1"/>
  <c r="CC21" i="6"/>
  <c r="BO20" i="6"/>
  <c r="CM20" i="6"/>
  <c r="CL20" i="6"/>
  <c r="CN20" i="6"/>
  <c r="BJ21" i="6"/>
  <c r="BN21" i="6" s="1"/>
  <c r="CJ21" i="6"/>
  <c r="DD20" i="6"/>
  <c r="DE20" i="6"/>
  <c r="DC20" i="6"/>
  <c r="DS20" i="6"/>
  <c r="G24" i="6"/>
  <c r="AH23" i="6"/>
  <c r="AU23" i="6" s="1"/>
  <c r="AE23" i="6"/>
  <c r="AN23" i="6" s="1"/>
  <c r="AP22" i="6"/>
  <c r="BC22" i="6" s="1"/>
  <c r="BK22" i="6" s="1"/>
  <c r="BP22" i="6" s="1"/>
  <c r="BQ22" i="6" s="1"/>
  <c r="AO22" i="6"/>
  <c r="BB22" i="6" s="1"/>
  <c r="G172" i="5"/>
  <c r="J172" i="5" s="1"/>
  <c r="M172" i="5" s="1"/>
  <c r="G180" i="5"/>
  <c r="J180" i="5" s="1"/>
  <c r="M180" i="5" s="1"/>
  <c r="G174" i="5"/>
  <c r="J174" i="5" s="1"/>
  <c r="M174" i="5" s="1"/>
  <c r="G181" i="5"/>
  <c r="J181" i="5" s="1"/>
  <c r="M181" i="5" s="1"/>
  <c r="G178" i="5"/>
  <c r="J178" i="5" s="1"/>
  <c r="M178" i="5" s="1"/>
  <c r="G177" i="5"/>
  <c r="J177" i="5" s="1"/>
  <c r="M177" i="5" s="1"/>
  <c r="G175" i="5"/>
  <c r="J175" i="5" s="1"/>
  <c r="M175" i="5" s="1"/>
  <c r="G173" i="5"/>
  <c r="J173" i="5" s="1"/>
  <c r="M173" i="5" s="1"/>
  <c r="G179" i="5"/>
  <c r="J179" i="5" s="1"/>
  <c r="M179" i="5" s="1"/>
  <c r="G183" i="5"/>
  <c r="J183" i="5" s="1"/>
  <c r="M183" i="5" s="1"/>
  <c r="G182" i="5"/>
  <c r="J182" i="5" s="1"/>
  <c r="M182" i="5" s="1"/>
  <c r="G176" i="5"/>
  <c r="J176" i="5" s="1"/>
  <c r="M176" i="5" s="1"/>
  <c r="AW22" i="6"/>
  <c r="BG22" i="6" s="1"/>
  <c r="BW22" i="6" s="1"/>
  <c r="CB22" i="6" s="1"/>
  <c r="AV22" i="6"/>
  <c r="BF22" i="6" s="1"/>
  <c r="DA21" i="6"/>
  <c r="BV21" i="6"/>
  <c r="BZ21" i="6" s="1"/>
  <c r="E353" i="5"/>
  <c r="E357" i="5"/>
  <c r="I30" i="5"/>
  <c r="L30" i="5" s="1"/>
  <c r="O30" i="5" s="1"/>
  <c r="F31" i="5"/>
  <c r="B31" i="6"/>
  <c r="D30" i="6"/>
  <c r="E359" i="5"/>
  <c r="E361" i="5"/>
  <c r="E358" i="5"/>
  <c r="E352" i="5"/>
  <c r="E362" i="5"/>
  <c r="E387" i="5"/>
  <c r="E354" i="5"/>
  <c r="E379" i="5"/>
  <c r="E368" i="5"/>
  <c r="E360" i="5"/>
  <c r="CA21" i="6" l="1"/>
  <c r="CC22" i="6"/>
  <c r="BO21" i="6"/>
  <c r="AW23" i="6"/>
  <c r="BG23" i="6" s="1"/>
  <c r="BW23" i="6" s="1"/>
  <c r="CB23" i="6" s="1"/>
  <c r="AV23" i="6"/>
  <c r="BF23" i="6" s="1"/>
  <c r="AO23" i="6"/>
  <c r="BB23" i="6" s="1"/>
  <c r="AP23" i="6"/>
  <c r="BC23" i="6" s="1"/>
  <c r="BK23" i="6" s="1"/>
  <c r="BP23" i="6" s="1"/>
  <c r="BQ23" i="6" s="1"/>
  <c r="AH24" i="6"/>
  <c r="AU24" i="6" s="1"/>
  <c r="AE24" i="6"/>
  <c r="AN24" i="6" s="1"/>
  <c r="G25" i="6"/>
  <c r="G187" i="5"/>
  <c r="J187" i="5" s="1"/>
  <c r="M187" i="5" s="1"/>
  <c r="G185" i="5"/>
  <c r="J185" i="5" s="1"/>
  <c r="M185" i="5" s="1"/>
  <c r="G190" i="5"/>
  <c r="J190" i="5" s="1"/>
  <c r="M190" i="5" s="1"/>
  <c r="G194" i="5"/>
  <c r="J194" i="5" s="1"/>
  <c r="M194" i="5" s="1"/>
  <c r="G188" i="5"/>
  <c r="J188" i="5" s="1"/>
  <c r="M188" i="5" s="1"/>
  <c r="G192" i="5"/>
  <c r="J192" i="5" s="1"/>
  <c r="M192" i="5" s="1"/>
  <c r="G184" i="5"/>
  <c r="J184" i="5" s="1"/>
  <c r="M184" i="5" s="1"/>
  <c r="G195" i="5"/>
  <c r="J195" i="5" s="1"/>
  <c r="M195" i="5" s="1"/>
  <c r="G186" i="5"/>
  <c r="J186" i="5" s="1"/>
  <c r="M186" i="5" s="1"/>
  <c r="G189" i="5"/>
  <c r="J189" i="5" s="1"/>
  <c r="M189" i="5" s="1"/>
  <c r="G193" i="5"/>
  <c r="J193" i="5" s="1"/>
  <c r="M193" i="5" s="1"/>
  <c r="G191" i="5"/>
  <c r="J191" i="5" s="1"/>
  <c r="M191" i="5" s="1"/>
  <c r="DA22" i="6"/>
  <c r="BV22" i="6"/>
  <c r="BZ22" i="6" s="1"/>
  <c r="BJ22" i="6"/>
  <c r="BN22" i="6" s="1"/>
  <c r="CJ22" i="6"/>
  <c r="DC21" i="6"/>
  <c r="DD21" i="6"/>
  <c r="DE21" i="6"/>
  <c r="DS21" i="6"/>
  <c r="CM21" i="6"/>
  <c r="CN21" i="6"/>
  <c r="CL21" i="6"/>
  <c r="E365" i="5"/>
  <c r="E399" i="5"/>
  <c r="E391" i="5"/>
  <c r="E374" i="5"/>
  <c r="B32" i="6"/>
  <c r="D31" i="6"/>
  <c r="I31" i="5"/>
  <c r="L31" i="5" s="1"/>
  <c r="O31" i="5" s="1"/>
  <c r="F32" i="5"/>
  <c r="E372" i="5"/>
  <c r="E366" i="5"/>
  <c r="E364" i="5"/>
  <c r="E373" i="5"/>
  <c r="E380" i="5"/>
  <c r="E370" i="5"/>
  <c r="E371" i="5"/>
  <c r="E369" i="5"/>
  <c r="CA22" i="6" l="1"/>
  <c r="CC23" i="6"/>
  <c r="BO22" i="6"/>
  <c r="DD22" i="6"/>
  <c r="DC22" i="6"/>
  <c r="DE22" i="6"/>
  <c r="DS22" i="6"/>
  <c r="G205" i="5"/>
  <c r="J205" i="5" s="1"/>
  <c r="M205" i="5" s="1"/>
  <c r="G202" i="5"/>
  <c r="J202" i="5" s="1"/>
  <c r="M202" i="5" s="1"/>
  <c r="G198" i="5"/>
  <c r="J198" i="5" s="1"/>
  <c r="M198" i="5" s="1"/>
  <c r="G201" i="5"/>
  <c r="J201" i="5" s="1"/>
  <c r="M201" i="5" s="1"/>
  <c r="G197" i="5"/>
  <c r="J197" i="5" s="1"/>
  <c r="M197" i="5" s="1"/>
  <c r="G196" i="5"/>
  <c r="J196" i="5" s="1"/>
  <c r="M196" i="5" s="1"/>
  <c r="G207" i="5"/>
  <c r="J207" i="5" s="1"/>
  <c r="M207" i="5" s="1"/>
  <c r="G206" i="5"/>
  <c r="J206" i="5" s="1"/>
  <c r="M206" i="5" s="1"/>
  <c r="G199" i="5"/>
  <c r="J199" i="5" s="1"/>
  <c r="M199" i="5" s="1"/>
  <c r="G200" i="5"/>
  <c r="J200" i="5" s="1"/>
  <c r="M200" i="5" s="1"/>
  <c r="G203" i="5"/>
  <c r="J203" i="5" s="1"/>
  <c r="M203" i="5" s="1"/>
  <c r="G204" i="5"/>
  <c r="J204" i="5" s="1"/>
  <c r="M204" i="5" s="1"/>
  <c r="CJ23" i="6"/>
  <c r="BJ23" i="6"/>
  <c r="BN23" i="6" s="1"/>
  <c r="BV23" i="6"/>
  <c r="BZ23" i="6" s="1"/>
  <c r="DA23" i="6"/>
  <c r="CN22" i="6"/>
  <c r="CM22" i="6"/>
  <c r="CL22" i="6"/>
  <c r="AH25" i="6"/>
  <c r="AU25" i="6" s="1"/>
  <c r="AE25" i="6"/>
  <c r="AN25" i="6" s="1"/>
  <c r="G26" i="6"/>
  <c r="AP24" i="6"/>
  <c r="BC24" i="6" s="1"/>
  <c r="BK24" i="6" s="1"/>
  <c r="BP24" i="6" s="1"/>
  <c r="BQ24" i="6" s="1"/>
  <c r="AO24" i="6"/>
  <c r="BB24" i="6" s="1"/>
  <c r="AW24" i="6"/>
  <c r="BG24" i="6" s="1"/>
  <c r="BW24" i="6" s="1"/>
  <c r="CB24" i="6" s="1"/>
  <c r="AV24" i="6"/>
  <c r="BF24" i="6" s="1"/>
  <c r="E378" i="5"/>
  <c r="E411" i="5"/>
  <c r="E384" i="5"/>
  <c r="E377" i="5"/>
  <c r="I32" i="5"/>
  <c r="L32" i="5" s="1"/>
  <c r="O32" i="5" s="1"/>
  <c r="F33" i="5"/>
  <c r="B33" i="6"/>
  <c r="D32" i="6"/>
  <c r="E382" i="5"/>
  <c r="E385" i="5"/>
  <c r="E386" i="5"/>
  <c r="E383" i="5"/>
  <c r="E376" i="5"/>
  <c r="E403" i="5"/>
  <c r="E381" i="5"/>
  <c r="E392" i="5"/>
  <c r="CA23" i="6" l="1"/>
  <c r="CC24" i="6"/>
  <c r="BO23" i="6"/>
  <c r="CJ24" i="6"/>
  <c r="BJ24" i="6"/>
  <c r="BN24" i="6" s="1"/>
  <c r="DD23" i="6"/>
  <c r="DS23" i="6"/>
  <c r="DE23" i="6"/>
  <c r="DC23" i="6"/>
  <c r="G217" i="5"/>
  <c r="J217" i="5" s="1"/>
  <c r="M217" i="5" s="1"/>
  <c r="G219" i="5"/>
  <c r="J219" i="5" s="1"/>
  <c r="M219" i="5" s="1"/>
  <c r="G215" i="5"/>
  <c r="J215" i="5" s="1"/>
  <c r="M215" i="5" s="1"/>
  <c r="G211" i="5"/>
  <c r="J211" i="5" s="1"/>
  <c r="M211" i="5" s="1"/>
  <c r="G209" i="5"/>
  <c r="J209" i="5" s="1"/>
  <c r="M209" i="5" s="1"/>
  <c r="G212" i="5"/>
  <c r="J212" i="5" s="1"/>
  <c r="M212" i="5" s="1"/>
  <c r="G213" i="5"/>
  <c r="J213" i="5" s="1"/>
  <c r="M213" i="5" s="1"/>
  <c r="G216" i="5"/>
  <c r="J216" i="5" s="1"/>
  <c r="M216" i="5" s="1"/>
  <c r="G218" i="5"/>
  <c r="J218" i="5" s="1"/>
  <c r="M218" i="5" s="1"/>
  <c r="G210" i="5"/>
  <c r="J210" i="5" s="1"/>
  <c r="M210" i="5" s="1"/>
  <c r="G214" i="5"/>
  <c r="J214" i="5" s="1"/>
  <c r="M214" i="5" s="1"/>
  <c r="G208" i="5"/>
  <c r="J208" i="5" s="1"/>
  <c r="M208" i="5" s="1"/>
  <c r="AE26" i="6"/>
  <c r="AN26" i="6" s="1"/>
  <c r="G27" i="6"/>
  <c r="AH26" i="6"/>
  <c r="AU26" i="6" s="1"/>
  <c r="AP25" i="6"/>
  <c r="BC25" i="6" s="1"/>
  <c r="BK25" i="6" s="1"/>
  <c r="BP25" i="6" s="1"/>
  <c r="BQ25" i="6" s="1"/>
  <c r="AO25" i="6"/>
  <c r="BB25" i="6" s="1"/>
  <c r="CN23" i="6"/>
  <c r="CM23" i="6"/>
  <c r="CL23" i="6"/>
  <c r="AV25" i="6"/>
  <c r="BF25" i="6" s="1"/>
  <c r="AW25" i="6"/>
  <c r="BG25" i="6" s="1"/>
  <c r="BW25" i="6" s="1"/>
  <c r="CB25" i="6" s="1"/>
  <c r="DA24" i="6"/>
  <c r="BV24" i="6"/>
  <c r="BZ24" i="6" s="1"/>
  <c r="CA24" i="6" s="1"/>
  <c r="E395" i="5"/>
  <c r="E397" i="5"/>
  <c r="E389" i="5"/>
  <c r="E423" i="5"/>
  <c r="E390" i="5"/>
  <c r="E396" i="5"/>
  <c r="E415" i="5"/>
  <c r="E398" i="5"/>
  <c r="E394" i="5"/>
  <c r="E393" i="5"/>
  <c r="E404" i="5"/>
  <c r="B34" i="6"/>
  <c r="D33" i="6"/>
  <c r="E388" i="5"/>
  <c r="I33" i="5"/>
  <c r="L33" i="5" s="1"/>
  <c r="O33" i="5" s="1"/>
  <c r="F34" i="5"/>
  <c r="CC25" i="6" l="1"/>
  <c r="BO24" i="6"/>
  <c r="I51" i="2" s="1"/>
  <c r="J51" i="2" s="1"/>
  <c r="M244" i="5" s="1"/>
  <c r="AH27" i="6"/>
  <c r="AU27" i="6" s="1"/>
  <c r="AE27" i="6"/>
  <c r="AN27" i="6" s="1"/>
  <c r="G28" i="6"/>
  <c r="G220" i="5"/>
  <c r="J220" i="5" s="1"/>
  <c r="M220" i="5" s="1"/>
  <c r="G222" i="5"/>
  <c r="J222" i="5" s="1"/>
  <c r="M222" i="5" s="1"/>
  <c r="G225" i="5"/>
  <c r="J225" i="5" s="1"/>
  <c r="M225" i="5" s="1"/>
  <c r="G221" i="5"/>
  <c r="J221" i="5" s="1"/>
  <c r="M221" i="5" s="1"/>
  <c r="G230" i="5"/>
  <c r="J230" i="5" s="1"/>
  <c r="M230" i="5" s="1"/>
  <c r="G227" i="5"/>
  <c r="J227" i="5" s="1"/>
  <c r="M227" i="5" s="1"/>
  <c r="G229" i="5"/>
  <c r="J229" i="5" s="1"/>
  <c r="M229" i="5" s="1"/>
  <c r="G223" i="5"/>
  <c r="J223" i="5" s="1"/>
  <c r="M223" i="5" s="1"/>
  <c r="G228" i="5"/>
  <c r="J228" i="5" s="1"/>
  <c r="M228" i="5" s="1"/>
  <c r="G231" i="5"/>
  <c r="J231" i="5" s="1"/>
  <c r="M231" i="5" s="1"/>
  <c r="G226" i="5"/>
  <c r="J226" i="5" s="1"/>
  <c r="M226" i="5" s="1"/>
  <c r="G224" i="5"/>
  <c r="J224" i="5" s="1"/>
  <c r="M224" i="5" s="1"/>
  <c r="DA25" i="6"/>
  <c r="BV25" i="6"/>
  <c r="BZ25" i="6" s="1"/>
  <c r="CA25" i="6" s="1"/>
  <c r="AO26" i="6"/>
  <c r="BB26" i="6" s="1"/>
  <c r="AP26" i="6"/>
  <c r="BC26" i="6" s="1"/>
  <c r="BK26" i="6" s="1"/>
  <c r="BP26" i="6" s="1"/>
  <c r="BQ26" i="6" s="1"/>
  <c r="DC24" i="6"/>
  <c r="DC26" i="6" s="1" a="1"/>
  <c r="DC26" i="6" s="1"/>
  <c r="DE24" i="6"/>
  <c r="DS24" i="6"/>
  <c r="DD24" i="6"/>
  <c r="CN24" i="6"/>
  <c r="CM24" i="6"/>
  <c r="CL24" i="6"/>
  <c r="CL26" i="6" s="1" a="1"/>
  <c r="CL26" i="6" s="1"/>
  <c r="AW26" i="6"/>
  <c r="BG26" i="6" s="1"/>
  <c r="BW26" i="6" s="1"/>
  <c r="CB26" i="6" s="1"/>
  <c r="AV26" i="6"/>
  <c r="BF26" i="6" s="1"/>
  <c r="BJ25" i="6"/>
  <c r="BN25" i="6" s="1"/>
  <c r="CJ25" i="6"/>
  <c r="E406" i="5"/>
  <c r="E435" i="5"/>
  <c r="E410" i="5"/>
  <c r="E400" i="5"/>
  <c r="E427" i="5"/>
  <c r="E407" i="5"/>
  <c r="E401" i="5"/>
  <c r="E416" i="5"/>
  <c r="B35" i="6"/>
  <c r="D34" i="6"/>
  <c r="H52" i="2" s="1"/>
  <c r="I34" i="5"/>
  <c r="L34" i="5" s="1"/>
  <c r="O34" i="5" s="1"/>
  <c r="F35" i="5"/>
  <c r="E405" i="5"/>
  <c r="E408" i="5"/>
  <c r="E409" i="5"/>
  <c r="E402" i="5"/>
  <c r="CC26" i="6" l="1"/>
  <c r="L51" i="2"/>
  <c r="N51" i="2"/>
  <c r="BO25" i="6"/>
  <c r="AE28" i="6"/>
  <c r="AN28" i="6" s="1"/>
  <c r="AH28" i="6"/>
  <c r="AU28" i="6" s="1"/>
  <c r="G29" i="6"/>
  <c r="CJ26" i="6"/>
  <c r="BJ26" i="6"/>
  <c r="BN26" i="6" s="1"/>
  <c r="AP27" i="6"/>
  <c r="BC27" i="6" s="1"/>
  <c r="BK27" i="6" s="1"/>
  <c r="BP27" i="6" s="1"/>
  <c r="BQ27" i="6" s="1"/>
  <c r="AO27" i="6"/>
  <c r="BB27" i="6" s="1"/>
  <c r="AW27" i="6"/>
  <c r="BG27" i="6" s="1"/>
  <c r="BW27" i="6" s="1"/>
  <c r="CB27" i="6" s="1"/>
  <c r="AV27" i="6"/>
  <c r="BF27" i="6" s="1"/>
  <c r="DA26" i="6"/>
  <c r="BV26" i="6"/>
  <c r="BZ26" i="6" s="1"/>
  <c r="CA26" i="6" s="1"/>
  <c r="DD25" i="6"/>
  <c r="DS25" i="6"/>
  <c r="DE25" i="6"/>
  <c r="CN25" i="6"/>
  <c r="CM25" i="6"/>
  <c r="G236" i="5"/>
  <c r="J236" i="5" s="1"/>
  <c r="M236" i="5" s="1"/>
  <c r="G240" i="5"/>
  <c r="J240" i="5" s="1"/>
  <c r="M240" i="5" s="1"/>
  <c r="G234" i="5"/>
  <c r="J234" i="5" s="1"/>
  <c r="M234" i="5" s="1"/>
  <c r="G239" i="5"/>
  <c r="J239" i="5" s="1"/>
  <c r="M239" i="5" s="1"/>
  <c r="G237" i="5"/>
  <c r="J237" i="5" s="1"/>
  <c r="M237" i="5" s="1"/>
  <c r="G241" i="5"/>
  <c r="J241" i="5" s="1"/>
  <c r="M241" i="5" s="1"/>
  <c r="G235" i="5"/>
  <c r="J235" i="5" s="1"/>
  <c r="M235" i="5" s="1"/>
  <c r="G233" i="5"/>
  <c r="J233" i="5" s="1"/>
  <c r="M233" i="5" s="1"/>
  <c r="G232" i="5"/>
  <c r="J232" i="5" s="1"/>
  <c r="M232" i="5" s="1"/>
  <c r="G238" i="5"/>
  <c r="J238" i="5" s="1"/>
  <c r="M238" i="5" s="1"/>
  <c r="G243" i="5"/>
  <c r="J243" i="5" s="1"/>
  <c r="M243" i="5" s="1"/>
  <c r="G242" i="5"/>
  <c r="J242" i="5" s="1"/>
  <c r="M242" i="5" s="1"/>
  <c r="E420" i="5"/>
  <c r="E447" i="5"/>
  <c r="B36" i="6"/>
  <c r="D35" i="6"/>
  <c r="E413" i="5"/>
  <c r="E439" i="5"/>
  <c r="E412" i="5"/>
  <c r="E418" i="5"/>
  <c r="E414" i="5"/>
  <c r="E428" i="5"/>
  <c r="E419" i="5"/>
  <c r="E417" i="5"/>
  <c r="E422" i="5"/>
  <c r="I35" i="5"/>
  <c r="L35" i="5" s="1"/>
  <c r="O35" i="5" s="1"/>
  <c r="F36" i="5"/>
  <c r="E421" i="5"/>
  <c r="BO26" i="6" l="1"/>
  <c r="CC27" i="6"/>
  <c r="G254" i="5"/>
  <c r="J254" i="5" s="1"/>
  <c r="G255" i="5"/>
  <c r="J255" i="5" s="1"/>
  <c r="G252" i="5"/>
  <c r="J252" i="5" s="1"/>
  <c r="G253" i="5"/>
  <c r="J253" i="5" s="1"/>
  <c r="G250" i="5"/>
  <c r="J250" i="5" s="1"/>
  <c r="G249" i="5"/>
  <c r="J249" i="5" s="1"/>
  <c r="G247" i="5"/>
  <c r="J247" i="5" s="1"/>
  <c r="G251" i="5"/>
  <c r="J251" i="5" s="1"/>
  <c r="G246" i="5"/>
  <c r="J246" i="5" s="1"/>
  <c r="G248" i="5"/>
  <c r="J248" i="5" s="1"/>
  <c r="G244" i="5"/>
  <c r="J244" i="5" s="1"/>
  <c r="G245" i="5"/>
  <c r="J245" i="5" s="1"/>
  <c r="CN26" i="6"/>
  <c r="CM26" i="6"/>
  <c r="AH29" i="6"/>
  <c r="AU29" i="6" s="1"/>
  <c r="G30" i="6"/>
  <c r="AE29" i="6"/>
  <c r="AN29" i="6" s="1"/>
  <c r="DE26" i="6"/>
  <c r="DD26" i="6"/>
  <c r="DS26" i="6"/>
  <c r="AW28" i="6"/>
  <c r="BG28" i="6" s="1"/>
  <c r="BW28" i="6" s="1"/>
  <c r="CB28" i="6" s="1"/>
  <c r="AV28" i="6"/>
  <c r="BF28" i="6" s="1"/>
  <c r="BV27" i="6"/>
  <c r="BZ27" i="6" s="1"/>
  <c r="CA27" i="6" s="1"/>
  <c r="DA27" i="6"/>
  <c r="AO28" i="6"/>
  <c r="BB28" i="6" s="1"/>
  <c r="AP28" i="6"/>
  <c r="BC28" i="6" s="1"/>
  <c r="BK28" i="6" s="1"/>
  <c r="BP28" i="6" s="1"/>
  <c r="BQ28" i="6" s="1"/>
  <c r="BJ27" i="6"/>
  <c r="BN27" i="6" s="1"/>
  <c r="CJ27" i="6"/>
  <c r="E440" i="5"/>
  <c r="E434" i="5"/>
  <c r="E432" i="5"/>
  <c r="E433" i="5"/>
  <c r="E429" i="5"/>
  <c r="F37" i="5"/>
  <c r="I36" i="5"/>
  <c r="L36" i="5" s="1"/>
  <c r="O36" i="5" s="1"/>
  <c r="E426" i="5"/>
  <c r="E430" i="5"/>
  <c r="E425" i="5"/>
  <c r="E431" i="5"/>
  <c r="E424" i="5"/>
  <c r="B37" i="6"/>
  <c r="D36" i="6"/>
  <c r="E459" i="5"/>
  <c r="E451" i="5"/>
  <c r="BO27" i="6" l="1"/>
  <c r="CC28" i="6"/>
  <c r="AW29" i="6"/>
  <c r="BG29" i="6" s="1"/>
  <c r="BW29" i="6" s="1"/>
  <c r="CB29" i="6" s="1"/>
  <c r="AV29" i="6"/>
  <c r="BF29" i="6" s="1"/>
  <c r="BV28" i="6"/>
  <c r="BZ28" i="6" s="1"/>
  <c r="CA28" i="6" s="1"/>
  <c r="DA28" i="6"/>
  <c r="CM27" i="6"/>
  <c r="CN27" i="6"/>
  <c r="G259" i="5"/>
  <c r="J259" i="5" s="1"/>
  <c r="G258" i="5"/>
  <c r="J258" i="5" s="1"/>
  <c r="G260" i="5"/>
  <c r="J260" i="5" s="1"/>
  <c r="G256" i="5"/>
  <c r="J256" i="5" s="1"/>
  <c r="G267" i="5"/>
  <c r="J267" i="5" s="1"/>
  <c r="G264" i="5"/>
  <c r="J264" i="5" s="1"/>
  <c r="G261" i="5"/>
  <c r="J261" i="5" s="1"/>
  <c r="G266" i="5"/>
  <c r="J266" i="5" s="1"/>
  <c r="G262" i="5"/>
  <c r="J262" i="5" s="1"/>
  <c r="G265" i="5"/>
  <c r="J265" i="5" s="1"/>
  <c r="G263" i="5"/>
  <c r="J263" i="5" s="1"/>
  <c r="G257" i="5"/>
  <c r="J257" i="5" s="1"/>
  <c r="BJ28" i="6"/>
  <c r="BN28" i="6" s="1"/>
  <c r="CJ28" i="6"/>
  <c r="AP29" i="6"/>
  <c r="BC29" i="6" s="1"/>
  <c r="BK29" i="6" s="1"/>
  <c r="BP29" i="6" s="1"/>
  <c r="BQ29" i="6" s="1"/>
  <c r="AO29" i="6"/>
  <c r="BB29" i="6" s="1"/>
  <c r="DD27" i="6"/>
  <c r="DS27" i="6"/>
  <c r="DE27" i="6"/>
  <c r="AE30" i="6"/>
  <c r="AN30" i="6" s="1"/>
  <c r="AH30" i="6"/>
  <c r="AU30" i="6" s="1"/>
  <c r="G31" i="6"/>
  <c r="I37" i="5"/>
  <c r="L37" i="5" s="1"/>
  <c r="O37" i="5" s="1"/>
  <c r="F38" i="5"/>
  <c r="E437" i="5"/>
  <c r="E436" i="5"/>
  <c r="E442" i="5"/>
  <c r="E444" i="5"/>
  <c r="E443" i="5"/>
  <c r="E438" i="5"/>
  <c r="E441" i="5"/>
  <c r="D37" i="6"/>
  <c r="B38" i="6"/>
  <c r="E445" i="5"/>
  <c r="E446" i="5"/>
  <c r="E463" i="5"/>
  <c r="E471" i="5"/>
  <c r="E452" i="5"/>
  <c r="BO28" i="6" l="1"/>
  <c r="CC29" i="6"/>
  <c r="CJ29" i="6"/>
  <c r="BJ29" i="6"/>
  <c r="BN29" i="6" s="1"/>
  <c r="AH31" i="6"/>
  <c r="AU31" i="6" s="1"/>
  <c r="AE31" i="6"/>
  <c r="AN31" i="6" s="1"/>
  <c r="G32" i="6"/>
  <c r="CM28" i="6"/>
  <c r="CN28" i="6"/>
  <c r="DD28" i="6"/>
  <c r="DS28" i="6"/>
  <c r="DE28" i="6"/>
  <c r="AV30" i="6"/>
  <c r="BF30" i="6" s="1"/>
  <c r="AW30" i="6"/>
  <c r="BG30" i="6" s="1"/>
  <c r="BW30" i="6" s="1"/>
  <c r="CB30" i="6" s="1"/>
  <c r="AO30" i="6"/>
  <c r="BB30" i="6" s="1"/>
  <c r="AP30" i="6"/>
  <c r="BC30" i="6" s="1"/>
  <c r="BK30" i="6" s="1"/>
  <c r="BP30" i="6" s="1"/>
  <c r="BQ30" i="6" s="1"/>
  <c r="BV29" i="6"/>
  <c r="BZ29" i="6" s="1"/>
  <c r="CA29" i="6" s="1"/>
  <c r="DA29" i="6"/>
  <c r="G277" i="5"/>
  <c r="J277" i="5" s="1"/>
  <c r="G276" i="5"/>
  <c r="J276" i="5" s="1"/>
  <c r="G269" i="5"/>
  <c r="J269" i="5" s="1"/>
  <c r="G275" i="5"/>
  <c r="J275" i="5" s="1"/>
  <c r="G271" i="5"/>
  <c r="J271" i="5" s="1"/>
  <c r="G273" i="5"/>
  <c r="J273" i="5" s="1"/>
  <c r="G268" i="5"/>
  <c r="J268" i="5" s="1"/>
  <c r="G279" i="5"/>
  <c r="J279" i="5" s="1"/>
  <c r="G278" i="5"/>
  <c r="J278" i="5" s="1"/>
  <c r="G272" i="5"/>
  <c r="J272" i="5" s="1"/>
  <c r="G270" i="5"/>
  <c r="J270" i="5" s="1"/>
  <c r="G274" i="5"/>
  <c r="J274" i="5" s="1"/>
  <c r="E456" i="5"/>
  <c r="E458" i="5"/>
  <c r="E453" i="5"/>
  <c r="E454" i="5"/>
  <c r="E475" i="5"/>
  <c r="I38" i="5"/>
  <c r="L38" i="5" s="1"/>
  <c r="O38" i="5" s="1"/>
  <c r="F39" i="5"/>
  <c r="E449" i="5"/>
  <c r="E457" i="5"/>
  <c r="E483" i="5"/>
  <c r="E464" i="5"/>
  <c r="E450" i="5"/>
  <c r="E448" i="5"/>
  <c r="D38" i="6"/>
  <c r="B39" i="6"/>
  <c r="B68" i="6" s="1"/>
  <c r="E455" i="5"/>
  <c r="CC30" i="6" l="1"/>
  <c r="BO29" i="6"/>
  <c r="BJ30" i="6"/>
  <c r="BN30" i="6" s="1"/>
  <c r="CJ30" i="6"/>
  <c r="G33" i="6"/>
  <c r="AE32" i="6"/>
  <c r="AN32" i="6" s="1"/>
  <c r="AH32" i="6"/>
  <c r="AU32" i="6" s="1"/>
  <c r="AP31" i="6"/>
  <c r="BC31" i="6" s="1"/>
  <c r="BK31" i="6" s="1"/>
  <c r="BP31" i="6" s="1"/>
  <c r="BQ31" i="6" s="1"/>
  <c r="AO31" i="6"/>
  <c r="BB31" i="6" s="1"/>
  <c r="DA30" i="6"/>
  <c r="BV30" i="6"/>
  <c r="BZ30" i="6" s="1"/>
  <c r="CA30" i="6" s="1"/>
  <c r="AV31" i="6"/>
  <c r="BF31" i="6" s="1"/>
  <c r="AW31" i="6"/>
  <c r="BG31" i="6" s="1"/>
  <c r="BW31" i="6" s="1"/>
  <c r="CB31" i="6" s="1"/>
  <c r="G285" i="5"/>
  <c r="J285" i="5" s="1"/>
  <c r="G281" i="5"/>
  <c r="J281" i="5" s="1"/>
  <c r="G286" i="5"/>
  <c r="J286" i="5" s="1"/>
  <c r="G282" i="5"/>
  <c r="J282" i="5" s="1"/>
  <c r="G291" i="5"/>
  <c r="J291" i="5" s="1"/>
  <c r="G290" i="5"/>
  <c r="J290" i="5" s="1"/>
  <c r="G289" i="5"/>
  <c r="J289" i="5" s="1"/>
  <c r="G284" i="5"/>
  <c r="J284" i="5" s="1"/>
  <c r="G287" i="5"/>
  <c r="J287" i="5" s="1"/>
  <c r="G280" i="5"/>
  <c r="J280" i="5" s="1"/>
  <c r="G283" i="5"/>
  <c r="J283" i="5" s="1"/>
  <c r="G288" i="5"/>
  <c r="J288" i="5" s="1"/>
  <c r="CM29" i="6"/>
  <c r="CN29" i="6"/>
  <c r="DE29" i="6"/>
  <c r="DD29" i="6"/>
  <c r="DS29" i="6"/>
  <c r="E460" i="5"/>
  <c r="E465" i="5"/>
  <c r="I39" i="5"/>
  <c r="L39" i="5" s="1"/>
  <c r="O39" i="5" s="1"/>
  <c r="F40" i="5"/>
  <c r="E468" i="5"/>
  <c r="E462" i="5"/>
  <c r="E467" i="5"/>
  <c r="E476" i="5"/>
  <c r="E469" i="5"/>
  <c r="E470" i="5"/>
  <c r="B40" i="6"/>
  <c r="D39" i="6"/>
  <c r="D68" i="6" s="1"/>
  <c r="E461" i="5"/>
  <c r="E466" i="5"/>
  <c r="CC31" i="6" l="1"/>
  <c r="BO30" i="6"/>
  <c r="DS30" i="6"/>
  <c r="DE30" i="6"/>
  <c r="DD30" i="6"/>
  <c r="CJ31" i="6"/>
  <c r="BJ31" i="6"/>
  <c r="BN31" i="6" s="1"/>
  <c r="AW32" i="6"/>
  <c r="BG32" i="6" s="1"/>
  <c r="BW32" i="6" s="1"/>
  <c r="CB32" i="6" s="1"/>
  <c r="AV32" i="6"/>
  <c r="BF32" i="6" s="1"/>
  <c r="G297" i="5"/>
  <c r="J297" i="5" s="1"/>
  <c r="G302" i="5"/>
  <c r="J302" i="5" s="1"/>
  <c r="G298" i="5"/>
  <c r="J298" i="5" s="1"/>
  <c r="G299" i="5"/>
  <c r="J299" i="5" s="1"/>
  <c r="G300" i="5"/>
  <c r="J300" i="5" s="1"/>
  <c r="G294" i="5"/>
  <c r="J294" i="5" s="1"/>
  <c r="G293" i="5"/>
  <c r="J293" i="5" s="1"/>
  <c r="G292" i="5"/>
  <c r="J292" i="5" s="1"/>
  <c r="G303" i="5"/>
  <c r="J303" i="5" s="1"/>
  <c r="G301" i="5"/>
  <c r="J301" i="5" s="1"/>
  <c r="G295" i="5"/>
  <c r="J295" i="5" s="1"/>
  <c r="G296" i="5"/>
  <c r="J296" i="5" s="1"/>
  <c r="AP32" i="6"/>
  <c r="BC32" i="6" s="1"/>
  <c r="BK32" i="6" s="1"/>
  <c r="BP32" i="6" s="1"/>
  <c r="BQ32" i="6" s="1"/>
  <c r="AO32" i="6"/>
  <c r="BB32" i="6" s="1"/>
  <c r="AH33" i="6"/>
  <c r="AU33" i="6" s="1"/>
  <c r="G34" i="6"/>
  <c r="AE33" i="6"/>
  <c r="AN33" i="6" s="1"/>
  <c r="DA31" i="6"/>
  <c r="BV31" i="6"/>
  <c r="BZ31" i="6" s="1"/>
  <c r="CA31" i="6" s="1"/>
  <c r="CM30" i="6"/>
  <c r="CN30" i="6"/>
  <c r="H55" i="2"/>
  <c r="I40" i="5"/>
  <c r="L40" i="5" s="1"/>
  <c r="O40" i="5" s="1"/>
  <c r="F41" i="5"/>
  <c r="E472" i="5"/>
  <c r="E479" i="5"/>
  <c r="E478" i="5"/>
  <c r="E482" i="5"/>
  <c r="B41" i="6"/>
  <c r="D40" i="6"/>
  <c r="E480" i="5"/>
  <c r="E477" i="5"/>
  <c r="E473" i="5"/>
  <c r="E481" i="5"/>
  <c r="E474" i="5"/>
  <c r="CC32" i="6" l="1"/>
  <c r="BO31" i="6"/>
  <c r="AE34" i="6"/>
  <c r="AN34" i="6" s="1"/>
  <c r="G35" i="6"/>
  <c r="AH34" i="6"/>
  <c r="AU34" i="6" s="1"/>
  <c r="DA32" i="6"/>
  <c r="BV32" i="6"/>
  <c r="BZ32" i="6" s="1"/>
  <c r="CA32" i="6" s="1"/>
  <c r="BJ32" i="6"/>
  <c r="BN32" i="6" s="1"/>
  <c r="CJ32" i="6"/>
  <c r="AO33" i="6"/>
  <c r="BB33" i="6" s="1"/>
  <c r="AP33" i="6"/>
  <c r="BC33" i="6" s="1"/>
  <c r="BK33" i="6" s="1"/>
  <c r="BP33" i="6" s="1"/>
  <c r="BQ33" i="6" s="1"/>
  <c r="AV33" i="6"/>
  <c r="BF33" i="6" s="1"/>
  <c r="AW33" i="6"/>
  <c r="BG33" i="6" s="1"/>
  <c r="BW33" i="6" s="1"/>
  <c r="CB33" i="6" s="1"/>
  <c r="CM31" i="6"/>
  <c r="CN31" i="6"/>
  <c r="DS31" i="6"/>
  <c r="DD31" i="6"/>
  <c r="DE31" i="6"/>
  <c r="G306" i="5"/>
  <c r="J306" i="5" s="1"/>
  <c r="G311" i="5"/>
  <c r="J311" i="5" s="1"/>
  <c r="G305" i="5"/>
  <c r="J305" i="5" s="1"/>
  <c r="G315" i="5"/>
  <c r="J315" i="5" s="1"/>
  <c r="G314" i="5"/>
  <c r="J314" i="5" s="1"/>
  <c r="G307" i="5"/>
  <c r="J307" i="5" s="1"/>
  <c r="G309" i="5"/>
  <c r="J309" i="5" s="1"/>
  <c r="G308" i="5"/>
  <c r="J308" i="5" s="1"/>
  <c r="G312" i="5"/>
  <c r="J312" i="5" s="1"/>
  <c r="G304" i="5"/>
  <c r="J304" i="5" s="1"/>
  <c r="G313" i="5"/>
  <c r="J313" i="5" s="1"/>
  <c r="G310" i="5"/>
  <c r="J310" i="5" s="1"/>
  <c r="I41" i="5"/>
  <c r="L41" i="5" s="1"/>
  <c r="O41" i="5" s="1"/>
  <c r="F42" i="5"/>
  <c r="B42" i="6"/>
  <c r="D41" i="6"/>
  <c r="E484" i="5"/>
  <c r="CC33" i="6" l="1"/>
  <c r="BO32" i="6"/>
  <c r="CN32" i="6"/>
  <c r="CM32" i="6"/>
  <c r="CJ33" i="6"/>
  <c r="BJ33" i="6"/>
  <c r="BN33" i="6" s="1"/>
  <c r="G316" i="5"/>
  <c r="J316" i="5" s="1"/>
  <c r="G322" i="5"/>
  <c r="J322" i="5" s="1"/>
  <c r="G326" i="5"/>
  <c r="J326" i="5" s="1"/>
  <c r="G327" i="5"/>
  <c r="J327" i="5" s="1"/>
  <c r="G319" i="5"/>
  <c r="J319" i="5" s="1"/>
  <c r="G325" i="5"/>
  <c r="J325" i="5" s="1"/>
  <c r="G320" i="5"/>
  <c r="J320" i="5" s="1"/>
  <c r="G317" i="5"/>
  <c r="J317" i="5" s="1"/>
  <c r="G318" i="5"/>
  <c r="J318" i="5" s="1"/>
  <c r="G321" i="5"/>
  <c r="J321" i="5" s="1"/>
  <c r="G323" i="5"/>
  <c r="J323" i="5" s="1"/>
  <c r="G324" i="5"/>
  <c r="J324" i="5" s="1"/>
  <c r="DD32" i="6"/>
  <c r="DE32" i="6"/>
  <c r="DS32" i="6"/>
  <c r="AV34" i="6"/>
  <c r="BF34" i="6" s="1"/>
  <c r="AW34" i="6"/>
  <c r="BG34" i="6" s="1"/>
  <c r="BW34" i="6" s="1"/>
  <c r="CB34" i="6" s="1"/>
  <c r="CC34" i="6" s="1"/>
  <c r="DA33" i="6"/>
  <c r="BV33" i="6"/>
  <c r="BZ33" i="6" s="1"/>
  <c r="CA33" i="6" s="1"/>
  <c r="AE35" i="6"/>
  <c r="AN35" i="6" s="1"/>
  <c r="G36" i="6"/>
  <c r="AH35" i="6"/>
  <c r="AU35" i="6" s="1"/>
  <c r="AP34" i="6"/>
  <c r="BC34" i="6" s="1"/>
  <c r="BK34" i="6" s="1"/>
  <c r="BP34" i="6" s="1"/>
  <c r="BQ34" i="6" s="1"/>
  <c r="AO34" i="6"/>
  <c r="BB34" i="6" s="1"/>
  <c r="D42" i="6"/>
  <c r="B43" i="6"/>
  <c r="F43" i="5"/>
  <c r="I42" i="5"/>
  <c r="L42" i="5" s="1"/>
  <c r="O42" i="5" s="1"/>
  <c r="BO33" i="6" l="1"/>
  <c r="DE33" i="6"/>
  <c r="DD33" i="6"/>
  <c r="DS33" i="6"/>
  <c r="CJ34" i="6"/>
  <c r="BJ34" i="6"/>
  <c r="BN34" i="6" s="1"/>
  <c r="DA34" i="6"/>
  <c r="BV34" i="6"/>
  <c r="BZ34" i="6" s="1"/>
  <c r="CA34" i="6" s="1"/>
  <c r="G332" i="5"/>
  <c r="J332" i="5" s="1"/>
  <c r="G329" i="5"/>
  <c r="J329" i="5" s="1"/>
  <c r="G328" i="5"/>
  <c r="J328" i="5" s="1"/>
  <c r="G335" i="5"/>
  <c r="J335" i="5" s="1"/>
  <c r="G330" i="5"/>
  <c r="J330" i="5" s="1"/>
  <c r="G338" i="5"/>
  <c r="J338" i="5" s="1"/>
  <c r="G336" i="5"/>
  <c r="J336" i="5" s="1"/>
  <c r="G333" i="5"/>
  <c r="J333" i="5" s="1"/>
  <c r="G337" i="5"/>
  <c r="J337" i="5" s="1"/>
  <c r="G331" i="5"/>
  <c r="J331" i="5" s="1"/>
  <c r="G334" i="5"/>
  <c r="J334" i="5" s="1"/>
  <c r="G339" i="5"/>
  <c r="J339" i="5" s="1"/>
  <c r="CM33" i="6"/>
  <c r="CN33" i="6"/>
  <c r="AW35" i="6"/>
  <c r="BG35" i="6" s="1"/>
  <c r="BW35" i="6" s="1"/>
  <c r="CB35" i="6" s="1"/>
  <c r="CC35" i="6" s="1"/>
  <c r="AV35" i="6"/>
  <c r="BF35" i="6" s="1"/>
  <c r="AP35" i="6"/>
  <c r="BC35" i="6" s="1"/>
  <c r="BK35" i="6" s="1"/>
  <c r="BP35" i="6" s="1"/>
  <c r="BQ35" i="6" s="1"/>
  <c r="AO35" i="6"/>
  <c r="BB35" i="6" s="1"/>
  <c r="AH36" i="6"/>
  <c r="AU36" i="6" s="1"/>
  <c r="AE36" i="6"/>
  <c r="AN36" i="6" s="1"/>
  <c r="G37" i="6"/>
  <c r="I43" i="5"/>
  <c r="L43" i="5" s="1"/>
  <c r="O43" i="5" s="1"/>
  <c r="F44" i="5"/>
  <c r="D43" i="6"/>
  <c r="B44" i="6"/>
  <c r="BO34" i="6" l="1"/>
  <c r="I52" i="2" s="1"/>
  <c r="J52" i="2" s="1"/>
  <c r="J364" i="5" s="1"/>
  <c r="BV35" i="6"/>
  <c r="BZ35" i="6" s="1"/>
  <c r="CA35" i="6" s="1"/>
  <c r="DA35" i="6"/>
  <c r="DS34" i="6"/>
  <c r="DE34" i="6"/>
  <c r="DD34" i="6"/>
  <c r="DD36" i="6" s="1" a="1"/>
  <c r="DD36" i="6" s="1"/>
  <c r="G38" i="6"/>
  <c r="AH37" i="6"/>
  <c r="AU37" i="6" s="1"/>
  <c r="AE37" i="6"/>
  <c r="AN37" i="6" s="1"/>
  <c r="CN34" i="6"/>
  <c r="CM34" i="6"/>
  <c r="CM36" i="6" s="1" a="1"/>
  <c r="CM36" i="6" s="1"/>
  <c r="AO36" i="6"/>
  <c r="BB36" i="6" s="1"/>
  <c r="AP36" i="6"/>
  <c r="BC36" i="6" s="1"/>
  <c r="BK36" i="6" s="1"/>
  <c r="BP36" i="6" s="1"/>
  <c r="BQ36" i="6" s="1"/>
  <c r="G347" i="5"/>
  <c r="J347" i="5" s="1"/>
  <c r="G351" i="5"/>
  <c r="J351" i="5" s="1"/>
  <c r="G346" i="5"/>
  <c r="J346" i="5" s="1"/>
  <c r="G340" i="5"/>
  <c r="J340" i="5" s="1"/>
  <c r="G348" i="5"/>
  <c r="J348" i="5" s="1"/>
  <c r="G344" i="5"/>
  <c r="J344" i="5" s="1"/>
  <c r="G345" i="5"/>
  <c r="J345" i="5" s="1"/>
  <c r="G342" i="5"/>
  <c r="J342" i="5" s="1"/>
  <c r="G350" i="5"/>
  <c r="J350" i="5" s="1"/>
  <c r="G341" i="5"/>
  <c r="J341" i="5" s="1"/>
  <c r="G349" i="5"/>
  <c r="J349" i="5" s="1"/>
  <c r="G343" i="5"/>
  <c r="J343" i="5" s="1"/>
  <c r="AW36" i="6"/>
  <c r="BG36" i="6" s="1"/>
  <c r="BW36" i="6" s="1"/>
  <c r="CB36" i="6" s="1"/>
  <c r="CC36" i="6" s="1"/>
  <c r="AV36" i="6"/>
  <c r="BF36" i="6" s="1"/>
  <c r="BJ35" i="6"/>
  <c r="BN35" i="6" s="1"/>
  <c r="CJ35" i="6"/>
  <c r="CN35" i="6" s="1"/>
  <c r="I44" i="5"/>
  <c r="L44" i="5" s="1"/>
  <c r="O44" i="5" s="1"/>
  <c r="F45" i="5"/>
  <c r="B45" i="6"/>
  <c r="D44" i="6"/>
  <c r="H53" i="2" s="1"/>
  <c r="BO35" i="6" l="1"/>
  <c r="L52" i="2"/>
  <c r="AP37" i="6"/>
  <c r="BC37" i="6" s="1"/>
  <c r="BK37" i="6" s="1"/>
  <c r="BP37" i="6" s="1"/>
  <c r="BQ37" i="6" s="1"/>
  <c r="AO37" i="6"/>
  <c r="BB37" i="6" s="1"/>
  <c r="AV37" i="6"/>
  <c r="BF37" i="6" s="1"/>
  <c r="AW37" i="6"/>
  <c r="BG37" i="6" s="1"/>
  <c r="BW37" i="6" s="1"/>
  <c r="CB37" i="6" s="1"/>
  <c r="CC37" i="6" s="1"/>
  <c r="G67" i="6"/>
  <c r="AE38" i="6"/>
  <c r="AN38" i="6" s="1"/>
  <c r="G39" i="6"/>
  <c r="AH38" i="6"/>
  <c r="AU38" i="6" s="1"/>
  <c r="BJ36" i="6"/>
  <c r="BN36" i="6" s="1"/>
  <c r="CJ36" i="6"/>
  <c r="CN36" i="6" s="1"/>
  <c r="G363" i="5"/>
  <c r="J363" i="5" s="1"/>
  <c r="G361" i="5"/>
  <c r="J361" i="5" s="1"/>
  <c r="G356" i="5"/>
  <c r="J356" i="5" s="1"/>
  <c r="G360" i="5"/>
  <c r="J360" i="5" s="1"/>
  <c r="G355" i="5"/>
  <c r="J355" i="5" s="1"/>
  <c r="G354" i="5"/>
  <c r="J354" i="5" s="1"/>
  <c r="G358" i="5"/>
  <c r="J358" i="5" s="1"/>
  <c r="G362" i="5"/>
  <c r="J362" i="5" s="1"/>
  <c r="G359" i="5"/>
  <c r="J359" i="5" s="1"/>
  <c r="G357" i="5"/>
  <c r="J357" i="5" s="1"/>
  <c r="G352" i="5"/>
  <c r="J352" i="5" s="1"/>
  <c r="G353" i="5"/>
  <c r="J353" i="5" s="1"/>
  <c r="DS35" i="6"/>
  <c r="DE35" i="6"/>
  <c r="BV36" i="6"/>
  <c r="BZ36" i="6" s="1"/>
  <c r="CA36" i="6" s="1"/>
  <c r="DA36" i="6"/>
  <c r="B46" i="6"/>
  <c r="D45" i="6"/>
  <c r="I45" i="5"/>
  <c r="L45" i="5" s="1"/>
  <c r="O45" i="5" s="1"/>
  <c r="F46" i="5"/>
  <c r="BO36" i="6" l="1"/>
  <c r="AW38" i="6"/>
  <c r="BG38" i="6" s="1"/>
  <c r="BW38" i="6" s="1"/>
  <c r="CB38" i="6" s="1"/>
  <c r="CC38" i="6" s="1"/>
  <c r="CC67" i="6" s="1"/>
  <c r="CC68" i="6" s="1"/>
  <c r="AV38" i="6"/>
  <c r="BF38" i="6" s="1"/>
  <c r="G371" i="5"/>
  <c r="G375" i="5"/>
  <c r="G373" i="5"/>
  <c r="G374" i="5"/>
  <c r="G367" i="5"/>
  <c r="G364" i="5"/>
  <c r="G369" i="5"/>
  <c r="G372" i="5"/>
  <c r="G370" i="5"/>
  <c r="G368" i="5"/>
  <c r="G366" i="5"/>
  <c r="G365" i="5"/>
  <c r="AH39" i="6"/>
  <c r="AU39" i="6" s="1"/>
  <c r="AE39" i="6"/>
  <c r="AN39" i="6" s="1"/>
  <c r="G40" i="6"/>
  <c r="AP38" i="6"/>
  <c r="BC38" i="6" s="1"/>
  <c r="BK38" i="6" s="1"/>
  <c r="BP38" i="6" s="1"/>
  <c r="BQ38" i="6" s="1"/>
  <c r="BQ67" i="6" s="1"/>
  <c r="BQ68" i="6" s="1"/>
  <c r="AO38" i="6"/>
  <c r="BB38" i="6" s="1"/>
  <c r="BV37" i="6"/>
  <c r="BZ37" i="6" s="1"/>
  <c r="CA37" i="6" s="1"/>
  <c r="DA37" i="6"/>
  <c r="DE36" i="6"/>
  <c r="DS36" i="6"/>
  <c r="BJ37" i="6"/>
  <c r="BN37" i="6" s="1"/>
  <c r="BO37" i="6" s="1"/>
  <c r="CJ37" i="6"/>
  <c r="CN37" i="6" s="1"/>
  <c r="I46" i="5"/>
  <c r="L46" i="5" s="1"/>
  <c r="O46" i="5" s="1"/>
  <c r="F47" i="5"/>
  <c r="B47" i="6"/>
  <c r="D46" i="6"/>
  <c r="AP39" i="6" l="1"/>
  <c r="BC39" i="6" s="1"/>
  <c r="BK39" i="6" s="1"/>
  <c r="BP39" i="6" s="1"/>
  <c r="BQ39" i="6" s="1"/>
  <c r="AO39" i="6"/>
  <c r="BB39" i="6" s="1"/>
  <c r="G387" i="5"/>
  <c r="G377" i="5"/>
  <c r="G378" i="5"/>
  <c r="G386" i="5"/>
  <c r="G385" i="5"/>
  <c r="G382" i="5"/>
  <c r="G380" i="5"/>
  <c r="G381" i="5"/>
  <c r="G379" i="5"/>
  <c r="G376" i="5"/>
  <c r="G384" i="5"/>
  <c r="G383" i="5"/>
  <c r="AV39" i="6"/>
  <c r="BF39" i="6" s="1"/>
  <c r="AW39" i="6"/>
  <c r="BG39" i="6" s="1"/>
  <c r="BW39" i="6" s="1"/>
  <c r="CB39" i="6" s="1"/>
  <c r="CC39" i="6" s="1"/>
  <c r="DE37" i="6"/>
  <c r="DS37" i="6"/>
  <c r="BJ38" i="6"/>
  <c r="BN38" i="6" s="1"/>
  <c r="BO38" i="6" s="1"/>
  <c r="BO67" i="6" s="1"/>
  <c r="BO68" i="6" s="1"/>
  <c r="CJ38" i="6"/>
  <c r="CN38" i="6" s="1"/>
  <c r="BV38" i="6"/>
  <c r="BZ38" i="6" s="1"/>
  <c r="CA38" i="6" s="1"/>
  <c r="CA67" i="6" s="1"/>
  <c r="CA68" i="6" s="1"/>
  <c r="DA38" i="6"/>
  <c r="G41" i="6"/>
  <c r="AE40" i="6"/>
  <c r="AN40" i="6" s="1"/>
  <c r="AH40" i="6"/>
  <c r="AU40" i="6" s="1"/>
  <c r="I47" i="5"/>
  <c r="L47" i="5" s="1"/>
  <c r="O47" i="5" s="1"/>
  <c r="F48" i="5"/>
  <c r="B48" i="6"/>
  <c r="D47" i="6"/>
  <c r="AH41" i="6" l="1"/>
  <c r="AU41" i="6" s="1"/>
  <c r="G42" i="6"/>
  <c r="AE41" i="6"/>
  <c r="AN41" i="6" s="1"/>
  <c r="DA39" i="6"/>
  <c r="BV39" i="6"/>
  <c r="BZ39" i="6" s="1"/>
  <c r="CA39" i="6" s="1"/>
  <c r="AO40" i="6"/>
  <c r="BB40" i="6" s="1"/>
  <c r="AP40" i="6"/>
  <c r="BC40" i="6" s="1"/>
  <c r="BK40" i="6" s="1"/>
  <c r="BP40" i="6" s="1"/>
  <c r="BQ40" i="6" s="1"/>
  <c r="DS38" i="6"/>
  <c r="DE38" i="6"/>
  <c r="G398" i="5"/>
  <c r="G392" i="5"/>
  <c r="G393" i="5"/>
  <c r="G389" i="5"/>
  <c r="G391" i="5"/>
  <c r="G396" i="5"/>
  <c r="G390" i="5"/>
  <c r="G399" i="5"/>
  <c r="G388" i="5"/>
  <c r="G397" i="5"/>
  <c r="G395" i="5"/>
  <c r="G394" i="5"/>
  <c r="CJ39" i="6"/>
  <c r="CN39" i="6" s="1"/>
  <c r="BJ39" i="6"/>
  <c r="BN39" i="6" s="1"/>
  <c r="BO39" i="6" s="1"/>
  <c r="I55" i="2" s="1"/>
  <c r="J55" i="2" s="1"/>
  <c r="AW40" i="6"/>
  <c r="BG40" i="6" s="1"/>
  <c r="BW40" i="6" s="1"/>
  <c r="CB40" i="6" s="1"/>
  <c r="CC40" i="6" s="1"/>
  <c r="AV40" i="6"/>
  <c r="BF40" i="6" s="1"/>
  <c r="I48" i="5"/>
  <c r="L48" i="5" s="1"/>
  <c r="O48" i="5" s="1"/>
  <c r="F49" i="5"/>
  <c r="B49" i="6"/>
  <c r="D48" i="6"/>
  <c r="G409" i="5" l="1"/>
  <c r="G402" i="5"/>
  <c r="G400" i="5"/>
  <c r="G403" i="5"/>
  <c r="G404" i="5"/>
  <c r="G407" i="5"/>
  <c r="G408" i="5"/>
  <c r="G410" i="5"/>
  <c r="G401" i="5"/>
  <c r="G405" i="5"/>
  <c r="G411" i="5"/>
  <c r="G406" i="5"/>
  <c r="DE39" i="6"/>
  <c r="DS39" i="6"/>
  <c r="AP41" i="6"/>
  <c r="BC41" i="6" s="1"/>
  <c r="BK41" i="6" s="1"/>
  <c r="BP41" i="6" s="1"/>
  <c r="BQ41" i="6" s="1"/>
  <c r="AO41" i="6"/>
  <c r="BB41" i="6" s="1"/>
  <c r="CJ40" i="6"/>
  <c r="CN40" i="6" s="1"/>
  <c r="BJ40" i="6"/>
  <c r="BN40" i="6" s="1"/>
  <c r="BO40" i="6" s="1"/>
  <c r="AH42" i="6"/>
  <c r="AU42" i="6" s="1"/>
  <c r="AE42" i="6"/>
  <c r="AN42" i="6" s="1"/>
  <c r="G43" i="6"/>
  <c r="BV40" i="6"/>
  <c r="BZ40" i="6" s="1"/>
  <c r="CA40" i="6" s="1"/>
  <c r="DA40" i="6"/>
  <c r="AW41" i="6"/>
  <c r="BG41" i="6" s="1"/>
  <c r="BW41" i="6" s="1"/>
  <c r="CB41" i="6" s="1"/>
  <c r="CC41" i="6" s="1"/>
  <c r="AV41" i="6"/>
  <c r="BF41" i="6" s="1"/>
  <c r="D49" i="6"/>
  <c r="B50" i="6"/>
  <c r="I49" i="5"/>
  <c r="L49" i="5" s="1"/>
  <c r="O49" i="5" s="1"/>
  <c r="F50" i="5"/>
  <c r="G421" i="5" l="1"/>
  <c r="G416" i="5"/>
  <c r="G418" i="5"/>
  <c r="G422" i="5"/>
  <c r="G419" i="5"/>
  <c r="G423" i="5"/>
  <c r="G413" i="5"/>
  <c r="G420" i="5"/>
  <c r="G415" i="5"/>
  <c r="G414" i="5"/>
  <c r="G412" i="5"/>
  <c r="G417" i="5"/>
  <c r="AP42" i="6"/>
  <c r="BC42" i="6" s="1"/>
  <c r="BK42" i="6" s="1"/>
  <c r="BP42" i="6" s="1"/>
  <c r="BQ42" i="6" s="1"/>
  <c r="AO42" i="6"/>
  <c r="BB42" i="6" s="1"/>
  <c r="CJ41" i="6"/>
  <c r="CN41" i="6" s="1"/>
  <c r="BJ41" i="6"/>
  <c r="BN41" i="6" s="1"/>
  <c r="BO41" i="6" s="1"/>
  <c r="AW42" i="6"/>
  <c r="BG42" i="6" s="1"/>
  <c r="BW42" i="6" s="1"/>
  <c r="CB42" i="6" s="1"/>
  <c r="CC42" i="6" s="1"/>
  <c r="AV42" i="6"/>
  <c r="BF42" i="6" s="1"/>
  <c r="DE40" i="6"/>
  <c r="DS40" i="6"/>
  <c r="AE43" i="6"/>
  <c r="AN43" i="6" s="1"/>
  <c r="G44" i="6"/>
  <c r="AH43" i="6"/>
  <c r="AU43" i="6" s="1"/>
  <c r="BV41" i="6"/>
  <c r="BZ41" i="6" s="1"/>
  <c r="CA41" i="6" s="1"/>
  <c r="DA41" i="6"/>
  <c r="F51" i="5"/>
  <c r="I50" i="5"/>
  <c r="L50" i="5" s="1"/>
  <c r="O50" i="5" s="1"/>
  <c r="B51" i="6"/>
  <c r="D50" i="6"/>
  <c r="BJ42" i="6" l="1"/>
  <c r="BN42" i="6" s="1"/>
  <c r="BO42" i="6" s="1"/>
  <c r="CJ42" i="6"/>
  <c r="CN42" i="6" s="1"/>
  <c r="AV43" i="6"/>
  <c r="BF43" i="6" s="1"/>
  <c r="AW43" i="6"/>
  <c r="BG43" i="6" s="1"/>
  <c r="BW43" i="6" s="1"/>
  <c r="CB43" i="6" s="1"/>
  <c r="CC43" i="6" s="1"/>
  <c r="AH44" i="6"/>
  <c r="AU44" i="6" s="1"/>
  <c r="G45" i="6"/>
  <c r="AE44" i="6"/>
  <c r="AN44" i="6" s="1"/>
  <c r="AP43" i="6"/>
  <c r="BC43" i="6" s="1"/>
  <c r="BK43" i="6" s="1"/>
  <c r="BP43" i="6" s="1"/>
  <c r="BQ43" i="6" s="1"/>
  <c r="AO43" i="6"/>
  <c r="BB43" i="6" s="1"/>
  <c r="G426" i="5"/>
  <c r="G431" i="5"/>
  <c r="G434" i="5"/>
  <c r="G435" i="5"/>
  <c r="G430" i="5"/>
  <c r="G425" i="5"/>
  <c r="G424" i="5"/>
  <c r="G427" i="5"/>
  <c r="G433" i="5"/>
  <c r="G432" i="5"/>
  <c r="G428" i="5"/>
  <c r="G429" i="5"/>
  <c r="DA42" i="6"/>
  <c r="BV42" i="6"/>
  <c r="BZ42" i="6" s="1"/>
  <c r="CA42" i="6" s="1"/>
  <c r="DS41" i="6"/>
  <c r="DE41" i="6"/>
  <c r="I51" i="5"/>
  <c r="L51" i="5" s="1"/>
  <c r="O51" i="5" s="1"/>
  <c r="F52" i="5"/>
  <c r="D51" i="6"/>
  <c r="B52" i="6"/>
  <c r="AO44" i="6" l="1"/>
  <c r="BB44" i="6" s="1"/>
  <c r="AP44" i="6"/>
  <c r="BC44" i="6" s="1"/>
  <c r="BK44" i="6" s="1"/>
  <c r="BP44" i="6" s="1"/>
  <c r="BQ44" i="6" s="1"/>
  <c r="DE42" i="6"/>
  <c r="DS42" i="6"/>
  <c r="AE45" i="6"/>
  <c r="AN45" i="6" s="1"/>
  <c r="AH45" i="6"/>
  <c r="AU45" i="6" s="1"/>
  <c r="G46" i="6"/>
  <c r="AW44" i="6"/>
  <c r="BG44" i="6" s="1"/>
  <c r="BW44" i="6" s="1"/>
  <c r="CB44" i="6" s="1"/>
  <c r="CC44" i="6" s="1"/>
  <c r="AV44" i="6"/>
  <c r="BF44" i="6" s="1"/>
  <c r="DA43" i="6"/>
  <c r="BV43" i="6"/>
  <c r="BZ43" i="6" s="1"/>
  <c r="CA43" i="6" s="1"/>
  <c r="G443" i="5"/>
  <c r="G441" i="5"/>
  <c r="G442" i="5"/>
  <c r="G437" i="5"/>
  <c r="G446" i="5"/>
  <c r="G445" i="5"/>
  <c r="G444" i="5"/>
  <c r="G438" i="5"/>
  <c r="G436" i="5"/>
  <c r="G447" i="5"/>
  <c r="G439" i="5"/>
  <c r="G440" i="5"/>
  <c r="BJ43" i="6"/>
  <c r="BN43" i="6" s="1"/>
  <c r="BO43" i="6" s="1"/>
  <c r="CJ43" i="6"/>
  <c r="CN43" i="6" s="1"/>
  <c r="I52" i="5"/>
  <c r="L52" i="5" s="1"/>
  <c r="O52" i="5" s="1"/>
  <c r="F53" i="5"/>
  <c r="D52" i="6"/>
  <c r="B53" i="6"/>
  <c r="AV45" i="6" l="1"/>
  <c r="BF45" i="6" s="1"/>
  <c r="BV45" i="6" s="1"/>
  <c r="BZ45" i="6" s="1"/>
  <c r="AW45" i="6"/>
  <c r="BG45" i="6" s="1"/>
  <c r="BW45" i="6" s="1"/>
  <c r="CB45" i="6" s="1"/>
  <c r="CC45" i="6" s="1"/>
  <c r="AP45" i="6"/>
  <c r="BC45" i="6" s="1"/>
  <c r="BK45" i="6" s="1"/>
  <c r="BP45" i="6" s="1"/>
  <c r="BQ45" i="6" s="1"/>
  <c r="AO45" i="6"/>
  <c r="BB45" i="6" s="1"/>
  <c r="BJ45" i="6" s="1"/>
  <c r="BN45" i="6" s="1"/>
  <c r="G450" i="5"/>
  <c r="G448" i="5"/>
  <c r="G459" i="5"/>
  <c r="G457" i="5"/>
  <c r="G456" i="5"/>
  <c r="G452" i="5"/>
  <c r="G453" i="5"/>
  <c r="G449" i="5"/>
  <c r="G458" i="5"/>
  <c r="G455" i="5"/>
  <c r="G451" i="5"/>
  <c r="G454" i="5"/>
  <c r="AE46" i="6"/>
  <c r="AN46" i="6" s="1"/>
  <c r="AH46" i="6"/>
  <c r="AU46" i="6" s="1"/>
  <c r="G47" i="6"/>
  <c r="DS43" i="6"/>
  <c r="DE43" i="6"/>
  <c r="DA44" i="6"/>
  <c r="BV44" i="6"/>
  <c r="BZ44" i="6" s="1"/>
  <c r="CA44" i="6" s="1"/>
  <c r="BJ44" i="6"/>
  <c r="BN44" i="6" s="1"/>
  <c r="BO44" i="6" s="1"/>
  <c r="CJ44" i="6"/>
  <c r="CN44" i="6" s="1"/>
  <c r="CN46" i="6" s="1" a="1"/>
  <c r="CN46" i="6" s="1"/>
  <c r="D53" i="6"/>
  <c r="B54" i="6"/>
  <c r="D54" i="6" s="1"/>
  <c r="I53" i="5"/>
  <c r="L53" i="5" s="1"/>
  <c r="O53" i="5" s="1"/>
  <c r="F54" i="5"/>
  <c r="BO45" i="6" l="1"/>
  <c r="I53" i="2"/>
  <c r="DE44" i="6"/>
  <c r="DE46" i="6" s="1" a="1"/>
  <c r="DE46" i="6" s="1"/>
  <c r="DS44" i="6"/>
  <c r="CA45" i="6"/>
  <c r="G460" i="5"/>
  <c r="G469" i="5"/>
  <c r="G470" i="5"/>
  <c r="G463" i="5"/>
  <c r="G462" i="5"/>
  <c r="G466" i="5"/>
  <c r="G471" i="5"/>
  <c r="G461" i="5"/>
  <c r="G468" i="5"/>
  <c r="G465" i="5"/>
  <c r="G464" i="5"/>
  <c r="G467" i="5"/>
  <c r="AE47" i="6"/>
  <c r="AN47" i="6" s="1"/>
  <c r="AH47" i="6"/>
  <c r="AU47" i="6" s="1"/>
  <c r="G48" i="6"/>
  <c r="AV46" i="6"/>
  <c r="BF46" i="6" s="1"/>
  <c r="BV46" i="6" s="1"/>
  <c r="BZ46" i="6" s="1"/>
  <c r="AW46" i="6"/>
  <c r="BG46" i="6" s="1"/>
  <c r="BW46" i="6" s="1"/>
  <c r="CB46" i="6" s="1"/>
  <c r="CC46" i="6" s="1"/>
  <c r="AO46" i="6"/>
  <c r="BB46" i="6" s="1"/>
  <c r="BJ46" i="6" s="1"/>
  <c r="BN46" i="6" s="1"/>
  <c r="AP46" i="6"/>
  <c r="BC46" i="6" s="1"/>
  <c r="BK46" i="6" s="1"/>
  <c r="BP46" i="6" s="1"/>
  <c r="BQ46" i="6" s="1"/>
  <c r="I54" i="5"/>
  <c r="L54" i="5" s="1"/>
  <c r="O54" i="5" s="1"/>
  <c r="F55" i="5"/>
  <c r="J53" i="2" l="1"/>
  <c r="G484" i="5" s="1"/>
  <c r="BO46" i="6"/>
  <c r="CA46" i="6"/>
  <c r="G49" i="6"/>
  <c r="AH48" i="6"/>
  <c r="AU48" i="6" s="1"/>
  <c r="AE48" i="6"/>
  <c r="AN48" i="6" s="1"/>
  <c r="AW47" i="6"/>
  <c r="BG47" i="6" s="1"/>
  <c r="BW47" i="6" s="1"/>
  <c r="CB47" i="6" s="1"/>
  <c r="CC47" i="6" s="1"/>
  <c r="AV47" i="6"/>
  <c r="BF47" i="6" s="1"/>
  <c r="BV47" i="6" s="1"/>
  <c r="BZ47" i="6" s="1"/>
  <c r="G482" i="5"/>
  <c r="G480" i="5"/>
  <c r="G476" i="5"/>
  <c r="G477" i="5"/>
  <c r="G483" i="5"/>
  <c r="G472" i="5"/>
  <c r="G481" i="5"/>
  <c r="G479" i="5"/>
  <c r="G478" i="5"/>
  <c r="G475" i="5"/>
  <c r="G474" i="5"/>
  <c r="G473" i="5"/>
  <c r="AP47" i="6"/>
  <c r="BC47" i="6" s="1"/>
  <c r="BK47" i="6" s="1"/>
  <c r="BP47" i="6" s="1"/>
  <c r="BQ47" i="6" s="1"/>
  <c r="AO47" i="6"/>
  <c r="BB47" i="6" s="1"/>
  <c r="BJ47" i="6" s="1"/>
  <c r="BN47" i="6" s="1"/>
  <c r="I55" i="5"/>
  <c r="L55" i="5" s="1"/>
  <c r="O55" i="5" s="1"/>
  <c r="F56" i="5"/>
  <c r="L53" i="2" l="1"/>
  <c r="BO47" i="6"/>
  <c r="AP48" i="6"/>
  <c r="BC48" i="6" s="1"/>
  <c r="BK48" i="6" s="1"/>
  <c r="BP48" i="6" s="1"/>
  <c r="BQ48" i="6" s="1"/>
  <c r="AO48" i="6"/>
  <c r="BB48" i="6" s="1"/>
  <c r="BJ48" i="6" s="1"/>
  <c r="BN48" i="6" s="1"/>
  <c r="AV48" i="6"/>
  <c r="BF48" i="6" s="1"/>
  <c r="BV48" i="6" s="1"/>
  <c r="BZ48" i="6" s="1"/>
  <c r="AW48" i="6"/>
  <c r="BG48" i="6" s="1"/>
  <c r="BW48" i="6" s="1"/>
  <c r="CB48" i="6" s="1"/>
  <c r="CC48" i="6" s="1"/>
  <c r="AE49" i="6"/>
  <c r="AN49" i="6" s="1"/>
  <c r="G50" i="6"/>
  <c r="AH49" i="6"/>
  <c r="AU49" i="6" s="1"/>
  <c r="CA47" i="6"/>
  <c r="I56" i="5"/>
  <c r="L56" i="5" s="1"/>
  <c r="O56" i="5" s="1"/>
  <c r="F57" i="5"/>
  <c r="BO48" i="6" l="1"/>
  <c r="AH50" i="6"/>
  <c r="AU50" i="6" s="1"/>
  <c r="G51" i="6"/>
  <c r="AE50" i="6"/>
  <c r="AN50" i="6" s="1"/>
  <c r="AV49" i="6"/>
  <c r="BF49" i="6" s="1"/>
  <c r="BV49" i="6" s="1"/>
  <c r="BZ49" i="6" s="1"/>
  <c r="AW49" i="6"/>
  <c r="BG49" i="6" s="1"/>
  <c r="BW49" i="6" s="1"/>
  <c r="CB49" i="6" s="1"/>
  <c r="CC49" i="6" s="1"/>
  <c r="AO49" i="6"/>
  <c r="BB49" i="6" s="1"/>
  <c r="BJ49" i="6" s="1"/>
  <c r="BN49" i="6" s="1"/>
  <c r="BO49" i="6" s="1"/>
  <c r="AP49" i="6"/>
  <c r="BC49" i="6" s="1"/>
  <c r="BK49" i="6" s="1"/>
  <c r="BP49" i="6" s="1"/>
  <c r="BQ49" i="6" s="1"/>
  <c r="CA48" i="6"/>
  <c r="I57" i="5"/>
  <c r="L57" i="5" s="1"/>
  <c r="O57" i="5" s="1"/>
  <c r="F58" i="5"/>
  <c r="AP50" i="6" l="1"/>
  <c r="BC50" i="6" s="1"/>
  <c r="BK50" i="6" s="1"/>
  <c r="BP50" i="6" s="1"/>
  <c r="BQ50" i="6" s="1"/>
  <c r="AO50" i="6"/>
  <c r="BB50" i="6" s="1"/>
  <c r="BJ50" i="6" s="1"/>
  <c r="BN50" i="6" s="1"/>
  <c r="BO50" i="6" s="1"/>
  <c r="AH51" i="6"/>
  <c r="AU51" i="6" s="1"/>
  <c r="G52" i="6"/>
  <c r="AE51" i="6"/>
  <c r="AN51" i="6" s="1"/>
  <c r="AW50" i="6"/>
  <c r="BG50" i="6" s="1"/>
  <c r="BW50" i="6" s="1"/>
  <c r="CB50" i="6" s="1"/>
  <c r="CC50" i="6" s="1"/>
  <c r="AV50" i="6"/>
  <c r="BF50" i="6" s="1"/>
  <c r="BV50" i="6" s="1"/>
  <c r="BZ50" i="6" s="1"/>
  <c r="CA49" i="6"/>
  <c r="F59" i="5"/>
  <c r="I58" i="5"/>
  <c r="L58" i="5" s="1"/>
  <c r="O58" i="5" s="1"/>
  <c r="CA50" i="6" l="1"/>
  <c r="AO51" i="6"/>
  <c r="BB51" i="6" s="1"/>
  <c r="BJ51" i="6" s="1"/>
  <c r="BN51" i="6" s="1"/>
  <c r="BO51" i="6" s="1"/>
  <c r="AP51" i="6"/>
  <c r="BC51" i="6" s="1"/>
  <c r="BK51" i="6" s="1"/>
  <c r="BP51" i="6" s="1"/>
  <c r="BQ51" i="6" s="1"/>
  <c r="AE52" i="6"/>
  <c r="AN52" i="6" s="1"/>
  <c r="AH52" i="6"/>
  <c r="AU52" i="6" s="1"/>
  <c r="G53" i="6"/>
  <c r="AV51" i="6"/>
  <c r="BF51" i="6" s="1"/>
  <c r="BV51" i="6" s="1"/>
  <c r="BZ51" i="6" s="1"/>
  <c r="AW51" i="6"/>
  <c r="BG51" i="6" s="1"/>
  <c r="BW51" i="6" s="1"/>
  <c r="CB51" i="6" s="1"/>
  <c r="CC51" i="6" s="1"/>
  <c r="I59" i="5"/>
  <c r="L59" i="5" s="1"/>
  <c r="O59" i="5" s="1"/>
  <c r="F60" i="5"/>
  <c r="CA51" i="6" l="1"/>
  <c r="G54" i="6"/>
  <c r="AE53" i="6"/>
  <c r="AN53" i="6" s="1"/>
  <c r="AH53" i="6"/>
  <c r="AU53" i="6" s="1"/>
  <c r="AV52" i="6"/>
  <c r="BF52" i="6" s="1"/>
  <c r="BV52" i="6" s="1"/>
  <c r="BZ52" i="6" s="1"/>
  <c r="AW52" i="6"/>
  <c r="BG52" i="6" s="1"/>
  <c r="BW52" i="6" s="1"/>
  <c r="CB52" i="6" s="1"/>
  <c r="CC52" i="6" s="1"/>
  <c r="AP52" i="6"/>
  <c r="BC52" i="6" s="1"/>
  <c r="BK52" i="6" s="1"/>
  <c r="BP52" i="6" s="1"/>
  <c r="BQ52" i="6" s="1"/>
  <c r="AO52" i="6"/>
  <c r="BB52" i="6" s="1"/>
  <c r="BJ52" i="6" s="1"/>
  <c r="BN52" i="6" s="1"/>
  <c r="BO52" i="6" s="1"/>
  <c r="I60" i="5"/>
  <c r="L60" i="5" s="1"/>
  <c r="O60" i="5" s="1"/>
  <c r="F61" i="5"/>
  <c r="CA52" i="6" l="1"/>
  <c r="AV53" i="6"/>
  <c r="BF53" i="6" s="1"/>
  <c r="BV53" i="6" s="1"/>
  <c r="BZ53" i="6" s="1"/>
  <c r="AW53" i="6"/>
  <c r="BG53" i="6" s="1"/>
  <c r="BW53" i="6" s="1"/>
  <c r="CB53" i="6" s="1"/>
  <c r="CC53" i="6" s="1"/>
  <c r="AP53" i="6"/>
  <c r="BC53" i="6" s="1"/>
  <c r="BK53" i="6" s="1"/>
  <c r="BP53" i="6" s="1"/>
  <c r="BQ53" i="6" s="1"/>
  <c r="AO53" i="6"/>
  <c r="BB53" i="6" s="1"/>
  <c r="BJ53" i="6" s="1"/>
  <c r="BN53" i="6" s="1"/>
  <c r="BO53" i="6" s="1"/>
  <c r="AH54" i="6"/>
  <c r="AU54" i="6" s="1"/>
  <c r="AE54" i="6"/>
  <c r="AN54" i="6" s="1"/>
  <c r="I61" i="5"/>
  <c r="L61" i="5" s="1"/>
  <c r="O61" i="5" s="1"/>
  <c r="F62" i="5"/>
  <c r="CA53" i="6" l="1"/>
  <c r="AP54" i="6"/>
  <c r="BC54" i="6" s="1"/>
  <c r="BK54" i="6" s="1"/>
  <c r="BP54" i="6" s="1"/>
  <c r="BQ54" i="6" s="1"/>
  <c r="AO54" i="6"/>
  <c r="BB54" i="6" s="1"/>
  <c r="BJ54" i="6" s="1"/>
  <c r="BN54" i="6" s="1"/>
  <c r="BO54" i="6" s="1"/>
  <c r="AW54" i="6"/>
  <c r="BG54" i="6" s="1"/>
  <c r="BW54" i="6" s="1"/>
  <c r="CB54" i="6" s="1"/>
  <c r="CC54" i="6" s="1"/>
  <c r="AV54" i="6"/>
  <c r="BF54" i="6" s="1"/>
  <c r="BV54" i="6" s="1"/>
  <c r="BZ54" i="6" s="1"/>
  <c r="I62" i="5"/>
  <c r="L62" i="5" s="1"/>
  <c r="O62" i="5" s="1"/>
  <c r="F63" i="5"/>
  <c r="CA54" i="6" l="1"/>
  <c r="I63" i="5"/>
  <c r="L63" i="5" s="1"/>
  <c r="O63" i="5" s="1"/>
  <c r="F64" i="5"/>
  <c r="I64" i="5" l="1"/>
  <c r="L64" i="5" s="1"/>
  <c r="O64" i="5" s="1"/>
  <c r="F65" i="5"/>
  <c r="I65" i="5" l="1"/>
  <c r="L65" i="5" s="1"/>
  <c r="O65" i="5" s="1"/>
  <c r="F66" i="5"/>
  <c r="F67" i="5" l="1"/>
  <c r="I66" i="5"/>
  <c r="L66" i="5" s="1"/>
  <c r="O66" i="5" s="1"/>
  <c r="I67" i="5" l="1"/>
  <c r="L67" i="5" s="1"/>
  <c r="O67" i="5" s="1"/>
  <c r="F68" i="5"/>
  <c r="I68" i="5" l="1"/>
  <c r="L68" i="5" s="1"/>
  <c r="O68" i="5" s="1"/>
  <c r="F69" i="5"/>
  <c r="I69" i="5" l="1"/>
  <c r="L69" i="5" s="1"/>
  <c r="O69" i="5" s="1"/>
  <c r="F70" i="5"/>
  <c r="I70" i="5" l="1"/>
  <c r="L70" i="5" s="1"/>
  <c r="O70" i="5" s="1"/>
  <c r="F71" i="5"/>
  <c r="I71" i="5" l="1"/>
  <c r="L71" i="5" s="1"/>
  <c r="O71" i="5" s="1"/>
  <c r="F72" i="5"/>
  <c r="I72" i="5" l="1"/>
  <c r="L72" i="5" s="1"/>
  <c r="O72" i="5" s="1"/>
  <c r="F73" i="5"/>
  <c r="I73" i="5" l="1"/>
  <c r="L73" i="5" s="1"/>
  <c r="O73" i="5" s="1"/>
  <c r="F74" i="5"/>
  <c r="F75" i="5" l="1"/>
  <c r="I74" i="5"/>
  <c r="L74" i="5" s="1"/>
  <c r="O74" i="5" s="1"/>
  <c r="I75" i="5" l="1"/>
  <c r="L75" i="5" s="1"/>
  <c r="O75" i="5" s="1"/>
  <c r="F76" i="5"/>
  <c r="I76" i="5" l="1"/>
  <c r="L76" i="5" s="1"/>
  <c r="O76" i="5" s="1"/>
  <c r="F77" i="5"/>
  <c r="I77" i="5" l="1"/>
  <c r="L77" i="5" s="1"/>
  <c r="O77" i="5" s="1"/>
  <c r="F78" i="5"/>
  <c r="I78" i="5" l="1"/>
  <c r="L78" i="5" s="1"/>
  <c r="O78" i="5" s="1"/>
  <c r="F79" i="5"/>
  <c r="I79" i="5" l="1"/>
  <c r="L79" i="5" s="1"/>
  <c r="O79" i="5" s="1"/>
  <c r="F80" i="5"/>
  <c r="I80" i="5" l="1"/>
  <c r="L80" i="5" s="1"/>
  <c r="O80" i="5" s="1"/>
  <c r="F81" i="5"/>
  <c r="I81" i="5" l="1"/>
  <c r="L81" i="5" s="1"/>
  <c r="O81" i="5" s="1"/>
  <c r="F82" i="5"/>
  <c r="F83" i="5" l="1"/>
  <c r="I82" i="5"/>
  <c r="L82" i="5" s="1"/>
  <c r="O82" i="5" s="1"/>
  <c r="I83" i="5" l="1"/>
  <c r="L83" i="5" s="1"/>
  <c r="O83" i="5" s="1"/>
  <c r="F84" i="5"/>
  <c r="I84" i="5" l="1"/>
  <c r="L84" i="5" s="1"/>
  <c r="O84" i="5" s="1"/>
  <c r="F85" i="5"/>
  <c r="I85" i="5" l="1"/>
  <c r="L85" i="5" s="1"/>
  <c r="O85" i="5" s="1"/>
  <c r="F86" i="5"/>
  <c r="I86" i="5" l="1"/>
  <c r="L86" i="5" s="1"/>
  <c r="O86" i="5" s="1"/>
  <c r="F87" i="5"/>
  <c r="I87" i="5" l="1"/>
  <c r="L87" i="5" s="1"/>
  <c r="O87" i="5" s="1"/>
  <c r="F88" i="5"/>
  <c r="I88" i="5" l="1"/>
  <c r="L88" i="5" s="1"/>
  <c r="O88" i="5" s="1"/>
  <c r="F89" i="5"/>
  <c r="I89" i="5" l="1"/>
  <c r="L89" i="5" s="1"/>
  <c r="O89" i="5" s="1"/>
  <c r="F90" i="5"/>
  <c r="F91" i="5" l="1"/>
  <c r="I90" i="5"/>
  <c r="L90" i="5" s="1"/>
  <c r="O90" i="5" s="1"/>
  <c r="I91" i="5" l="1"/>
  <c r="L91" i="5" s="1"/>
  <c r="O91" i="5" s="1"/>
  <c r="F92" i="5"/>
  <c r="I92" i="5" l="1"/>
  <c r="L92" i="5" s="1"/>
  <c r="O92" i="5" s="1"/>
  <c r="F93" i="5"/>
  <c r="I93" i="5" l="1"/>
  <c r="L93" i="5" s="1"/>
  <c r="O93" i="5" s="1"/>
  <c r="F94" i="5"/>
  <c r="I94" i="5" l="1"/>
  <c r="L94" i="5" s="1"/>
  <c r="O94" i="5" s="1"/>
  <c r="F95" i="5"/>
  <c r="I95" i="5" l="1"/>
  <c r="L95" i="5" s="1"/>
  <c r="O95" i="5" s="1"/>
  <c r="F96" i="5"/>
  <c r="I96" i="5" l="1"/>
  <c r="L96" i="5" s="1"/>
  <c r="O96" i="5" s="1"/>
  <c r="F97" i="5"/>
  <c r="I97" i="5" l="1"/>
  <c r="L97" i="5" s="1"/>
  <c r="O97" i="5" s="1"/>
  <c r="F98" i="5"/>
  <c r="F99" i="5" l="1"/>
  <c r="I98" i="5"/>
  <c r="L98" i="5" s="1"/>
  <c r="O98" i="5" s="1"/>
  <c r="I99" i="5" l="1"/>
  <c r="L99" i="5" s="1"/>
  <c r="O99" i="5" s="1"/>
  <c r="F100" i="5"/>
  <c r="I100" i="5" l="1"/>
  <c r="L100" i="5" s="1"/>
  <c r="O100" i="5" s="1"/>
  <c r="F101" i="5"/>
  <c r="I101" i="5" l="1"/>
  <c r="L101" i="5" s="1"/>
  <c r="O101" i="5" s="1"/>
  <c r="F102" i="5"/>
  <c r="I102" i="5" l="1"/>
  <c r="L102" i="5" s="1"/>
  <c r="O102" i="5" s="1"/>
  <c r="F103" i="5"/>
  <c r="I103" i="5" l="1"/>
  <c r="L103" i="5" s="1"/>
  <c r="O103" i="5" s="1"/>
  <c r="F104" i="5"/>
  <c r="I104" i="5" l="1"/>
  <c r="L104" i="5" s="1"/>
  <c r="O104" i="5" s="1"/>
  <c r="F105" i="5"/>
  <c r="I105" i="5" l="1"/>
  <c r="L105" i="5" s="1"/>
  <c r="O105" i="5" s="1"/>
  <c r="F106" i="5"/>
  <c r="F107" i="5" l="1"/>
  <c r="I106" i="5"/>
  <c r="L106" i="5" s="1"/>
  <c r="O106" i="5" s="1"/>
  <c r="I107" i="5" l="1"/>
  <c r="L107" i="5" s="1"/>
  <c r="O107" i="5" s="1"/>
  <c r="F108" i="5"/>
  <c r="I108" i="5" l="1"/>
  <c r="L108" i="5" s="1"/>
  <c r="O108" i="5" s="1"/>
  <c r="F109" i="5"/>
  <c r="I109" i="5" l="1"/>
  <c r="L109" i="5" s="1"/>
  <c r="O109" i="5" s="1"/>
  <c r="F110" i="5"/>
  <c r="I110" i="5" l="1"/>
  <c r="L110" i="5" s="1"/>
  <c r="O110" i="5" s="1"/>
  <c r="F111" i="5"/>
  <c r="I111" i="5" l="1"/>
  <c r="L111" i="5" s="1"/>
  <c r="O111" i="5" s="1"/>
  <c r="F112" i="5"/>
  <c r="I112" i="5" l="1"/>
  <c r="L112" i="5" s="1"/>
  <c r="O112" i="5" s="1"/>
  <c r="F113" i="5"/>
  <c r="I113" i="5" l="1"/>
  <c r="L113" i="5" s="1"/>
  <c r="O113" i="5" s="1"/>
  <c r="F114" i="5"/>
  <c r="F115" i="5" l="1"/>
  <c r="I114" i="5"/>
  <c r="L114" i="5" s="1"/>
  <c r="O114" i="5" s="1"/>
  <c r="I115" i="5" l="1"/>
  <c r="L115" i="5" s="1"/>
  <c r="O115" i="5" s="1"/>
  <c r="F116" i="5"/>
  <c r="I116" i="5" l="1"/>
  <c r="L116" i="5" s="1"/>
  <c r="O116" i="5" s="1"/>
  <c r="F117" i="5"/>
  <c r="I117" i="5" l="1"/>
  <c r="L117" i="5" s="1"/>
  <c r="O117" i="5" s="1"/>
  <c r="F118" i="5"/>
  <c r="I118" i="5" l="1"/>
  <c r="L118" i="5" s="1"/>
  <c r="O118" i="5" s="1"/>
  <c r="F119" i="5"/>
  <c r="I119" i="5" l="1"/>
  <c r="L119" i="5" s="1"/>
  <c r="O119" i="5" s="1"/>
  <c r="F120" i="5"/>
  <c r="I120" i="5" l="1"/>
  <c r="L120" i="5" s="1"/>
  <c r="O120" i="5" s="1"/>
  <c r="F121" i="5"/>
  <c r="I121" i="5" l="1"/>
  <c r="L121" i="5" s="1"/>
  <c r="O121" i="5" s="1"/>
  <c r="F122" i="5"/>
  <c r="F123" i="5" l="1"/>
  <c r="I122" i="5"/>
  <c r="L122" i="5" s="1"/>
  <c r="O122" i="5" s="1"/>
  <c r="I123" i="5" l="1"/>
  <c r="L123" i="5" s="1"/>
  <c r="O123" i="5" s="1"/>
  <c r="F124" i="5"/>
  <c r="I124" i="5" l="1"/>
  <c r="L124" i="5" s="1"/>
  <c r="O124" i="5" s="1"/>
  <c r="C6" i="5" s="1"/>
  <c r="D6" i="5" s="1"/>
  <c r="F125" i="5"/>
  <c r="I125" i="5" l="1"/>
  <c r="L125" i="5" s="1"/>
  <c r="F126" i="5"/>
  <c r="F127" i="5" l="1"/>
  <c r="I126" i="5"/>
  <c r="L126" i="5" s="1"/>
  <c r="F128" i="5" l="1"/>
  <c r="I127" i="5"/>
  <c r="L127" i="5" s="1"/>
  <c r="F129" i="5" l="1"/>
  <c r="I128" i="5"/>
  <c r="L128" i="5" s="1"/>
  <c r="I129" i="5" l="1"/>
  <c r="L129" i="5" s="1"/>
  <c r="F130" i="5"/>
  <c r="I130" i="5" l="1"/>
  <c r="L130" i="5" s="1"/>
  <c r="F131" i="5"/>
  <c r="I131" i="5" l="1"/>
  <c r="L131" i="5" s="1"/>
  <c r="F132" i="5"/>
  <c r="I132" i="5" l="1"/>
  <c r="L132" i="5" s="1"/>
  <c r="F133" i="5"/>
  <c r="I133" i="5" l="1"/>
  <c r="L133" i="5" s="1"/>
  <c r="F134" i="5"/>
  <c r="F135" i="5" l="1"/>
  <c r="I134" i="5"/>
  <c r="L134" i="5" s="1"/>
  <c r="F136" i="5" l="1"/>
  <c r="I135" i="5"/>
  <c r="L135" i="5" s="1"/>
  <c r="F137" i="5" l="1"/>
  <c r="I136" i="5"/>
  <c r="L136" i="5" s="1"/>
  <c r="I137" i="5" l="1"/>
  <c r="L137" i="5" s="1"/>
  <c r="F138" i="5"/>
  <c r="I138" i="5" l="1"/>
  <c r="L138" i="5" s="1"/>
  <c r="F139" i="5"/>
  <c r="I139" i="5" l="1"/>
  <c r="L139" i="5" s="1"/>
  <c r="F140" i="5"/>
  <c r="I140" i="5" l="1"/>
  <c r="L140" i="5" s="1"/>
  <c r="F141" i="5"/>
  <c r="I141" i="5" l="1"/>
  <c r="L141" i="5" s="1"/>
  <c r="F142" i="5"/>
  <c r="F143" i="5" l="1"/>
  <c r="I142" i="5"/>
  <c r="L142" i="5" s="1"/>
  <c r="F144" i="5" l="1"/>
  <c r="I143" i="5"/>
  <c r="L143" i="5" s="1"/>
  <c r="F145" i="5" l="1"/>
  <c r="I144" i="5"/>
  <c r="L144" i="5" s="1"/>
  <c r="I145" i="5" l="1"/>
  <c r="L145" i="5" s="1"/>
  <c r="F146" i="5"/>
  <c r="I146" i="5" l="1"/>
  <c r="L146" i="5" s="1"/>
  <c r="F147" i="5"/>
  <c r="I147" i="5" l="1"/>
  <c r="L147" i="5" s="1"/>
  <c r="F148" i="5"/>
  <c r="I148" i="5" l="1"/>
  <c r="L148" i="5" s="1"/>
  <c r="F149" i="5"/>
  <c r="I149" i="5" l="1"/>
  <c r="L149" i="5" s="1"/>
  <c r="F150" i="5"/>
  <c r="F151" i="5" l="1"/>
  <c r="I150" i="5"/>
  <c r="L150" i="5" s="1"/>
  <c r="F152" i="5" l="1"/>
  <c r="I151" i="5"/>
  <c r="L151" i="5" s="1"/>
  <c r="F153" i="5" l="1"/>
  <c r="I152" i="5"/>
  <c r="L152" i="5" s="1"/>
  <c r="I153" i="5" l="1"/>
  <c r="L153" i="5" s="1"/>
  <c r="F154" i="5"/>
  <c r="I154" i="5" l="1"/>
  <c r="L154" i="5" s="1"/>
  <c r="F155" i="5"/>
  <c r="I155" i="5" l="1"/>
  <c r="L155" i="5" s="1"/>
  <c r="F156" i="5"/>
  <c r="I156" i="5" l="1"/>
  <c r="L156" i="5" s="1"/>
  <c r="F157" i="5"/>
  <c r="I157" i="5" l="1"/>
  <c r="L157" i="5" s="1"/>
  <c r="F158" i="5"/>
  <c r="F159" i="5" l="1"/>
  <c r="I158" i="5"/>
  <c r="L158" i="5" s="1"/>
  <c r="F160" i="5" l="1"/>
  <c r="I159" i="5"/>
  <c r="L159" i="5" s="1"/>
  <c r="F161" i="5" l="1"/>
  <c r="I160" i="5"/>
  <c r="L160" i="5" s="1"/>
  <c r="I161" i="5" l="1"/>
  <c r="L161" i="5" s="1"/>
  <c r="F162" i="5"/>
  <c r="I162" i="5" l="1"/>
  <c r="L162" i="5" s="1"/>
  <c r="F163" i="5"/>
  <c r="I163" i="5" l="1"/>
  <c r="L163" i="5" s="1"/>
  <c r="F164" i="5"/>
  <c r="I164" i="5" l="1"/>
  <c r="L164" i="5" s="1"/>
  <c r="F165" i="5"/>
  <c r="I165" i="5" l="1"/>
  <c r="L165" i="5" s="1"/>
  <c r="F166" i="5"/>
  <c r="F167" i="5" l="1"/>
  <c r="I166" i="5"/>
  <c r="L166" i="5" s="1"/>
  <c r="F168" i="5" l="1"/>
  <c r="I167" i="5"/>
  <c r="L167" i="5" s="1"/>
  <c r="F169" i="5" l="1"/>
  <c r="I168" i="5"/>
  <c r="L168" i="5" s="1"/>
  <c r="I169" i="5" l="1"/>
  <c r="L169" i="5" s="1"/>
  <c r="F170" i="5"/>
  <c r="I170" i="5" l="1"/>
  <c r="L170" i="5" s="1"/>
  <c r="F171" i="5"/>
  <c r="I171" i="5" l="1"/>
  <c r="L171" i="5" s="1"/>
  <c r="F172" i="5"/>
  <c r="I172" i="5" l="1"/>
  <c r="L172" i="5" s="1"/>
  <c r="F173" i="5"/>
  <c r="I173" i="5" l="1"/>
  <c r="L173" i="5" s="1"/>
  <c r="F174" i="5"/>
  <c r="F175" i="5" l="1"/>
  <c r="I174" i="5"/>
  <c r="L174" i="5" s="1"/>
  <c r="F176" i="5" l="1"/>
  <c r="I175" i="5"/>
  <c r="L175" i="5" s="1"/>
  <c r="F177" i="5" l="1"/>
  <c r="I176" i="5"/>
  <c r="L176" i="5" s="1"/>
  <c r="I177" i="5" l="1"/>
  <c r="L177" i="5" s="1"/>
  <c r="F178" i="5"/>
  <c r="I178" i="5" l="1"/>
  <c r="L178" i="5" s="1"/>
  <c r="F179" i="5"/>
  <c r="I179" i="5" l="1"/>
  <c r="L179" i="5" s="1"/>
  <c r="F180" i="5"/>
  <c r="I180" i="5" l="1"/>
  <c r="L180" i="5" s="1"/>
  <c r="F181" i="5"/>
  <c r="I181" i="5" l="1"/>
  <c r="L181" i="5" s="1"/>
  <c r="F182" i="5"/>
  <c r="F183" i="5" l="1"/>
  <c r="I182" i="5"/>
  <c r="L182" i="5" s="1"/>
  <c r="F184" i="5" l="1"/>
  <c r="I183" i="5"/>
  <c r="L183" i="5" s="1"/>
  <c r="F185" i="5" l="1"/>
  <c r="I184" i="5"/>
  <c r="L184" i="5" s="1"/>
  <c r="F186" i="5" l="1"/>
  <c r="I185" i="5"/>
  <c r="L185" i="5" s="1"/>
  <c r="F187" i="5" l="1"/>
  <c r="I186" i="5"/>
  <c r="L186" i="5" s="1"/>
  <c r="F188" i="5" l="1"/>
  <c r="I187" i="5"/>
  <c r="L187" i="5" s="1"/>
  <c r="I188" i="5" l="1"/>
  <c r="L188" i="5" s="1"/>
  <c r="F189" i="5"/>
  <c r="I189" i="5" l="1"/>
  <c r="L189" i="5" s="1"/>
  <c r="F190" i="5"/>
  <c r="I190" i="5" l="1"/>
  <c r="L190" i="5" s="1"/>
  <c r="F191" i="5"/>
  <c r="I191" i="5" l="1"/>
  <c r="L191" i="5" s="1"/>
  <c r="F192" i="5"/>
  <c r="I192" i="5" l="1"/>
  <c r="L192" i="5" s="1"/>
  <c r="F193" i="5"/>
  <c r="F194" i="5" l="1"/>
  <c r="I193" i="5"/>
  <c r="L193" i="5" s="1"/>
  <c r="F195" i="5" l="1"/>
  <c r="I194" i="5"/>
  <c r="L194" i="5" s="1"/>
  <c r="F196" i="5" l="1"/>
  <c r="I195" i="5"/>
  <c r="L195" i="5" s="1"/>
  <c r="I196" i="5" l="1"/>
  <c r="L196" i="5" s="1"/>
  <c r="F197" i="5"/>
  <c r="I197" i="5" l="1"/>
  <c r="L197" i="5" s="1"/>
  <c r="F198" i="5"/>
  <c r="I198" i="5" l="1"/>
  <c r="L198" i="5" s="1"/>
  <c r="F199" i="5"/>
  <c r="I199" i="5" l="1"/>
  <c r="L199" i="5" s="1"/>
  <c r="F200" i="5"/>
  <c r="I200" i="5" l="1"/>
  <c r="L200" i="5" s="1"/>
  <c r="F201" i="5"/>
  <c r="F202" i="5" l="1"/>
  <c r="I201" i="5"/>
  <c r="L201" i="5" s="1"/>
  <c r="F203" i="5" l="1"/>
  <c r="I202" i="5"/>
  <c r="L202" i="5" s="1"/>
  <c r="F204" i="5" l="1"/>
  <c r="I203" i="5"/>
  <c r="L203" i="5" s="1"/>
  <c r="I204" i="5" l="1"/>
  <c r="L204" i="5" s="1"/>
  <c r="F205" i="5"/>
  <c r="I205" i="5" l="1"/>
  <c r="L205" i="5" s="1"/>
  <c r="F206" i="5"/>
  <c r="I206" i="5" l="1"/>
  <c r="L206" i="5" s="1"/>
  <c r="F207" i="5"/>
  <c r="I207" i="5" l="1"/>
  <c r="L207" i="5" s="1"/>
  <c r="F208" i="5"/>
  <c r="I208" i="5" l="1"/>
  <c r="L208" i="5" s="1"/>
  <c r="F209" i="5"/>
  <c r="F210" i="5" l="1"/>
  <c r="I209" i="5"/>
  <c r="L209" i="5" s="1"/>
  <c r="F211" i="5" l="1"/>
  <c r="I210" i="5"/>
  <c r="L210" i="5" s="1"/>
  <c r="F212" i="5" l="1"/>
  <c r="I211" i="5"/>
  <c r="L211" i="5" s="1"/>
  <c r="I212" i="5" l="1"/>
  <c r="L212" i="5" s="1"/>
  <c r="F213" i="5"/>
  <c r="I213" i="5" l="1"/>
  <c r="L213" i="5" s="1"/>
  <c r="F214" i="5"/>
  <c r="I214" i="5" l="1"/>
  <c r="L214" i="5" s="1"/>
  <c r="F215" i="5"/>
  <c r="I215" i="5" l="1"/>
  <c r="L215" i="5" s="1"/>
  <c r="F216" i="5"/>
  <c r="I216" i="5" l="1"/>
  <c r="L216" i="5" s="1"/>
  <c r="F217" i="5"/>
  <c r="F218" i="5" l="1"/>
  <c r="I217" i="5"/>
  <c r="L217" i="5" s="1"/>
  <c r="F219" i="5" l="1"/>
  <c r="I218" i="5"/>
  <c r="L218" i="5" s="1"/>
  <c r="F220" i="5" l="1"/>
  <c r="I219" i="5"/>
  <c r="L219" i="5" s="1"/>
  <c r="I220" i="5" l="1"/>
  <c r="L220" i="5" s="1"/>
  <c r="F221" i="5"/>
  <c r="I221" i="5" l="1"/>
  <c r="L221" i="5" s="1"/>
  <c r="F222" i="5"/>
  <c r="I222" i="5" l="1"/>
  <c r="L222" i="5" s="1"/>
  <c r="F223" i="5"/>
  <c r="I223" i="5" l="1"/>
  <c r="L223" i="5" s="1"/>
  <c r="F224" i="5"/>
  <c r="I224" i="5" l="1"/>
  <c r="L224" i="5" s="1"/>
  <c r="F225" i="5"/>
  <c r="F226" i="5" l="1"/>
  <c r="I225" i="5"/>
  <c r="L225" i="5" s="1"/>
  <c r="F227" i="5" l="1"/>
  <c r="I226" i="5"/>
  <c r="L226" i="5" s="1"/>
  <c r="F228" i="5" l="1"/>
  <c r="I227" i="5"/>
  <c r="L227" i="5" s="1"/>
  <c r="I228" i="5" l="1"/>
  <c r="L228" i="5" s="1"/>
  <c r="F229" i="5"/>
  <c r="I229" i="5" l="1"/>
  <c r="L229" i="5" s="1"/>
  <c r="F230" i="5"/>
  <c r="I230" i="5" l="1"/>
  <c r="L230" i="5" s="1"/>
  <c r="F231" i="5"/>
  <c r="I231" i="5" l="1"/>
  <c r="L231" i="5" s="1"/>
  <c r="F232" i="5"/>
  <c r="I232" i="5" l="1"/>
  <c r="L232" i="5" s="1"/>
  <c r="F233" i="5"/>
  <c r="F234" i="5" l="1"/>
  <c r="I233" i="5"/>
  <c r="L233" i="5" s="1"/>
  <c r="F235" i="5" l="1"/>
  <c r="I234" i="5"/>
  <c r="L234" i="5" s="1"/>
  <c r="F236" i="5" l="1"/>
  <c r="I235" i="5"/>
  <c r="L235" i="5" s="1"/>
  <c r="I236" i="5" l="1"/>
  <c r="L236" i="5" s="1"/>
  <c r="F237" i="5"/>
  <c r="I237" i="5" l="1"/>
  <c r="L237" i="5" s="1"/>
  <c r="F238" i="5"/>
  <c r="I238" i="5" l="1"/>
  <c r="L238" i="5" s="1"/>
  <c r="F239" i="5"/>
  <c r="I239" i="5" l="1"/>
  <c r="L239" i="5" s="1"/>
  <c r="F240" i="5"/>
  <c r="I240" i="5" l="1"/>
  <c r="L240" i="5" s="1"/>
  <c r="F241" i="5"/>
  <c r="F242" i="5" l="1"/>
  <c r="I241" i="5"/>
  <c r="L241" i="5" s="1"/>
  <c r="F243" i="5" l="1"/>
  <c r="I242" i="5"/>
  <c r="L242" i="5" s="1"/>
  <c r="F244" i="5" l="1"/>
  <c r="I243" i="5"/>
  <c r="L243" i="5" s="1"/>
  <c r="I244" i="5" l="1"/>
  <c r="L244" i="5" s="1"/>
  <c r="C7" i="5" s="1"/>
  <c r="D7" i="5" s="1"/>
  <c r="F245" i="5"/>
  <c r="I245" i="5" l="1"/>
  <c r="F246" i="5"/>
  <c r="F247" i="5" l="1"/>
  <c r="I246" i="5"/>
  <c r="F248" i="5" l="1"/>
  <c r="I247" i="5"/>
  <c r="I248" i="5" l="1"/>
  <c r="F249" i="5"/>
  <c r="F250" i="5" l="1"/>
  <c r="I249" i="5"/>
  <c r="I250" i="5" l="1"/>
  <c r="F251" i="5"/>
  <c r="F252" i="5" l="1"/>
  <c r="I251" i="5"/>
  <c r="F253" i="5" l="1"/>
  <c r="I252" i="5"/>
  <c r="I253" i="5" l="1"/>
  <c r="F254" i="5"/>
  <c r="F255" i="5" l="1"/>
  <c r="I254" i="5"/>
  <c r="F256" i="5" l="1"/>
  <c r="I255" i="5"/>
  <c r="I256" i="5" l="1"/>
  <c r="F257" i="5"/>
  <c r="F258" i="5" l="1"/>
  <c r="I257" i="5"/>
  <c r="I258" i="5" l="1"/>
  <c r="F259" i="5"/>
  <c r="F260" i="5" l="1"/>
  <c r="I259" i="5"/>
  <c r="F261" i="5" l="1"/>
  <c r="I260" i="5"/>
  <c r="I261" i="5" l="1"/>
  <c r="F262" i="5"/>
  <c r="F263" i="5" l="1"/>
  <c r="I262" i="5"/>
  <c r="F264" i="5" l="1"/>
  <c r="I263" i="5"/>
  <c r="I264" i="5" l="1"/>
  <c r="F265" i="5"/>
  <c r="F266" i="5" l="1"/>
  <c r="I265" i="5"/>
  <c r="I266" i="5" l="1"/>
  <c r="F267" i="5"/>
  <c r="F268" i="5" l="1"/>
  <c r="I267" i="5"/>
  <c r="F269" i="5" l="1"/>
  <c r="I268" i="5"/>
  <c r="I269" i="5" l="1"/>
  <c r="F270" i="5"/>
  <c r="F271" i="5" l="1"/>
  <c r="I270" i="5"/>
  <c r="F272" i="5" l="1"/>
  <c r="I271" i="5"/>
  <c r="I272" i="5" l="1"/>
  <c r="F273" i="5"/>
  <c r="F274" i="5" l="1"/>
  <c r="I273" i="5"/>
  <c r="I274" i="5" l="1"/>
  <c r="F275" i="5"/>
  <c r="F276" i="5" l="1"/>
  <c r="I275" i="5"/>
  <c r="F277" i="5" l="1"/>
  <c r="I276" i="5"/>
  <c r="I277" i="5" l="1"/>
  <c r="F278" i="5"/>
  <c r="F279" i="5" l="1"/>
  <c r="I278" i="5"/>
  <c r="F280" i="5" l="1"/>
  <c r="I279" i="5"/>
  <c r="I280" i="5" l="1"/>
  <c r="F281" i="5"/>
  <c r="F282" i="5" l="1"/>
  <c r="I281" i="5"/>
  <c r="I282" i="5" l="1"/>
  <c r="F283" i="5"/>
  <c r="F284" i="5" l="1"/>
  <c r="I283" i="5"/>
  <c r="F285" i="5" l="1"/>
  <c r="I284" i="5"/>
  <c r="I285" i="5" l="1"/>
  <c r="F286" i="5"/>
  <c r="F287" i="5" l="1"/>
  <c r="I286" i="5"/>
  <c r="F288" i="5" l="1"/>
  <c r="I287" i="5"/>
  <c r="I288" i="5" l="1"/>
  <c r="F289" i="5"/>
  <c r="F290" i="5" l="1"/>
  <c r="I289" i="5"/>
  <c r="I290" i="5" l="1"/>
  <c r="F291" i="5"/>
  <c r="F292" i="5" l="1"/>
  <c r="I291" i="5"/>
  <c r="F293" i="5" l="1"/>
  <c r="I292" i="5"/>
  <c r="I293" i="5" l="1"/>
  <c r="F294" i="5"/>
  <c r="F295" i="5" l="1"/>
  <c r="I294" i="5"/>
  <c r="F296" i="5" l="1"/>
  <c r="I295" i="5"/>
  <c r="I296" i="5" l="1"/>
  <c r="F297" i="5"/>
  <c r="F298" i="5" l="1"/>
  <c r="I297" i="5"/>
  <c r="I298" i="5" l="1"/>
  <c r="F299" i="5"/>
  <c r="F300" i="5" l="1"/>
  <c r="I299" i="5"/>
  <c r="F301" i="5" l="1"/>
  <c r="I300" i="5"/>
  <c r="I301" i="5" l="1"/>
  <c r="F302" i="5"/>
  <c r="F303" i="5" l="1"/>
  <c r="I302" i="5"/>
  <c r="F304" i="5" l="1"/>
  <c r="I303" i="5"/>
  <c r="I304" i="5" l="1"/>
  <c r="F305" i="5"/>
  <c r="F306" i="5" l="1"/>
  <c r="I305" i="5"/>
  <c r="I306" i="5" l="1"/>
  <c r="F307" i="5"/>
  <c r="F308" i="5" l="1"/>
  <c r="I307" i="5"/>
  <c r="F309" i="5" l="1"/>
  <c r="I308" i="5"/>
  <c r="I309" i="5" l="1"/>
  <c r="F310" i="5"/>
  <c r="F311" i="5" l="1"/>
  <c r="I310" i="5"/>
  <c r="F312" i="5" l="1"/>
  <c r="I311" i="5"/>
  <c r="I312" i="5" l="1"/>
  <c r="F313" i="5"/>
  <c r="F314" i="5" l="1"/>
  <c r="I313" i="5"/>
  <c r="I314" i="5" l="1"/>
  <c r="F315" i="5"/>
  <c r="F316" i="5" l="1"/>
  <c r="I315" i="5"/>
  <c r="F317" i="5" l="1"/>
  <c r="I316" i="5"/>
  <c r="I317" i="5" l="1"/>
  <c r="F318" i="5"/>
  <c r="F319" i="5" l="1"/>
  <c r="I318" i="5"/>
  <c r="F320" i="5" l="1"/>
  <c r="I319" i="5"/>
  <c r="I320" i="5" l="1"/>
  <c r="F321" i="5"/>
  <c r="F322" i="5" l="1"/>
  <c r="I321" i="5"/>
  <c r="I322" i="5" l="1"/>
  <c r="F323" i="5"/>
  <c r="F324" i="5" l="1"/>
  <c r="I323" i="5"/>
  <c r="F325" i="5" l="1"/>
  <c r="I324" i="5"/>
  <c r="I325" i="5" l="1"/>
  <c r="F326" i="5"/>
  <c r="F327" i="5" l="1"/>
  <c r="I326" i="5"/>
  <c r="F328" i="5" l="1"/>
  <c r="I327" i="5"/>
  <c r="I328" i="5" l="1"/>
  <c r="F329" i="5"/>
  <c r="F330" i="5" l="1"/>
  <c r="I329" i="5"/>
  <c r="I330" i="5" l="1"/>
  <c r="F331" i="5"/>
  <c r="F332" i="5" l="1"/>
  <c r="I331" i="5"/>
  <c r="F333" i="5" l="1"/>
  <c r="I332" i="5"/>
  <c r="I333" i="5" l="1"/>
  <c r="F334" i="5"/>
  <c r="F335" i="5" l="1"/>
  <c r="I334" i="5"/>
  <c r="F336" i="5" l="1"/>
  <c r="I335" i="5"/>
  <c r="I336" i="5" l="1"/>
  <c r="F337" i="5"/>
  <c r="F338" i="5" l="1"/>
  <c r="I337" i="5"/>
  <c r="I338" i="5" l="1"/>
  <c r="F339" i="5"/>
  <c r="F340" i="5" l="1"/>
  <c r="I339" i="5"/>
  <c r="F341" i="5" l="1"/>
  <c r="I340" i="5"/>
  <c r="I341" i="5" l="1"/>
  <c r="F342" i="5"/>
  <c r="F343" i="5" l="1"/>
  <c r="I342" i="5"/>
  <c r="F344" i="5" l="1"/>
  <c r="I343" i="5"/>
  <c r="I344" i="5" l="1"/>
  <c r="F345" i="5"/>
  <c r="F346" i="5" l="1"/>
  <c r="I345" i="5"/>
  <c r="I346" i="5" l="1"/>
  <c r="F347" i="5"/>
  <c r="F348" i="5" l="1"/>
  <c r="I347" i="5"/>
  <c r="F349" i="5" l="1"/>
  <c r="I348" i="5"/>
  <c r="I349" i="5" l="1"/>
  <c r="F350" i="5"/>
  <c r="F351" i="5" l="1"/>
  <c r="I350" i="5"/>
  <c r="I351" i="5" l="1"/>
  <c r="F352" i="5"/>
  <c r="F353" i="5" l="1"/>
  <c r="I352" i="5"/>
  <c r="I353" i="5" l="1"/>
  <c r="F354" i="5"/>
  <c r="F355" i="5" l="1"/>
  <c r="I354" i="5"/>
  <c r="F356" i="5" l="1"/>
  <c r="I355" i="5"/>
  <c r="F357" i="5" l="1"/>
  <c r="I356" i="5"/>
  <c r="I357" i="5" l="1"/>
  <c r="F358" i="5"/>
  <c r="F359" i="5" l="1"/>
  <c r="I358" i="5"/>
  <c r="I359" i="5" l="1"/>
  <c r="F360" i="5"/>
  <c r="F361" i="5" l="1"/>
  <c r="I360" i="5"/>
  <c r="I361" i="5" l="1"/>
  <c r="F362" i="5"/>
  <c r="F363" i="5" l="1"/>
  <c r="I362" i="5"/>
  <c r="F364" i="5" l="1"/>
  <c r="I363" i="5"/>
  <c r="F365" i="5" l="1"/>
  <c r="F366" i="5" s="1"/>
  <c r="F367" i="5" s="1"/>
  <c r="F368" i="5" s="1"/>
  <c r="F369" i="5" s="1"/>
  <c r="F370" i="5" s="1"/>
  <c r="F371" i="5" s="1"/>
  <c r="F372" i="5" s="1"/>
  <c r="F373" i="5" s="1"/>
  <c r="F374" i="5" s="1"/>
  <c r="F375" i="5" s="1"/>
  <c r="F376" i="5" s="1"/>
  <c r="F377" i="5" s="1"/>
  <c r="F378" i="5" s="1"/>
  <c r="F379" i="5" s="1"/>
  <c r="F380" i="5" s="1"/>
  <c r="F381" i="5" s="1"/>
  <c r="F382" i="5" s="1"/>
  <c r="F383" i="5" s="1"/>
  <c r="F384" i="5" s="1"/>
  <c r="F385" i="5" s="1"/>
  <c r="F386" i="5" s="1"/>
  <c r="F387" i="5" s="1"/>
  <c r="F388" i="5" s="1"/>
  <c r="F389" i="5" s="1"/>
  <c r="F390" i="5" s="1"/>
  <c r="F391" i="5" s="1"/>
  <c r="F392" i="5" s="1"/>
  <c r="F393" i="5" s="1"/>
  <c r="F394" i="5" s="1"/>
  <c r="F395" i="5" s="1"/>
  <c r="F396" i="5" s="1"/>
  <c r="F397" i="5" s="1"/>
  <c r="F398" i="5" s="1"/>
  <c r="F399" i="5" s="1"/>
  <c r="F400" i="5" s="1"/>
  <c r="F401" i="5" s="1"/>
  <c r="F402" i="5" s="1"/>
  <c r="F403" i="5" s="1"/>
  <c r="F404" i="5" s="1"/>
  <c r="F405" i="5" s="1"/>
  <c r="F406" i="5" s="1"/>
  <c r="F407" i="5" s="1"/>
  <c r="F408" i="5" s="1"/>
  <c r="F409" i="5" s="1"/>
  <c r="F410" i="5" s="1"/>
  <c r="F411" i="5" s="1"/>
  <c r="F412" i="5" s="1"/>
  <c r="F413" i="5" s="1"/>
  <c r="F414" i="5" s="1"/>
  <c r="F415" i="5" s="1"/>
  <c r="F416" i="5" s="1"/>
  <c r="F417" i="5" s="1"/>
  <c r="F418" i="5" s="1"/>
  <c r="F419" i="5" s="1"/>
  <c r="F420" i="5" s="1"/>
  <c r="F421" i="5" s="1"/>
  <c r="F422" i="5" s="1"/>
  <c r="F423" i="5" s="1"/>
  <c r="F424" i="5" s="1"/>
  <c r="F425" i="5" s="1"/>
  <c r="F426" i="5" s="1"/>
  <c r="F427" i="5" s="1"/>
  <c r="F428" i="5" s="1"/>
  <c r="F429" i="5" s="1"/>
  <c r="F430" i="5" s="1"/>
  <c r="F431" i="5" s="1"/>
  <c r="F432" i="5" s="1"/>
  <c r="F433" i="5" s="1"/>
  <c r="F434" i="5" s="1"/>
  <c r="F435" i="5" s="1"/>
  <c r="F436" i="5" s="1"/>
  <c r="F437" i="5" s="1"/>
  <c r="F438" i="5" s="1"/>
  <c r="F439" i="5" s="1"/>
  <c r="F440" i="5" s="1"/>
  <c r="F441" i="5" s="1"/>
  <c r="F442" i="5" s="1"/>
  <c r="F443" i="5" s="1"/>
  <c r="F444" i="5" s="1"/>
  <c r="F445" i="5" s="1"/>
  <c r="F446" i="5" s="1"/>
  <c r="F447" i="5" s="1"/>
  <c r="F448" i="5" s="1"/>
  <c r="F449" i="5" s="1"/>
  <c r="F450" i="5" s="1"/>
  <c r="F451" i="5" s="1"/>
  <c r="F452" i="5" s="1"/>
  <c r="F453" i="5" s="1"/>
  <c r="F454" i="5" s="1"/>
  <c r="F455" i="5" s="1"/>
  <c r="F456" i="5" s="1"/>
  <c r="F457" i="5" s="1"/>
  <c r="F458" i="5" s="1"/>
  <c r="F459" i="5" s="1"/>
  <c r="F460" i="5" s="1"/>
  <c r="F461" i="5" s="1"/>
  <c r="F462" i="5" s="1"/>
  <c r="F463" i="5" s="1"/>
  <c r="F464" i="5" s="1"/>
  <c r="F465" i="5" s="1"/>
  <c r="F466" i="5" s="1"/>
  <c r="F467" i="5" s="1"/>
  <c r="F468" i="5" s="1"/>
  <c r="F469" i="5" s="1"/>
  <c r="F470" i="5" s="1"/>
  <c r="F471" i="5" s="1"/>
  <c r="F472" i="5" s="1"/>
  <c r="F473" i="5" s="1"/>
  <c r="F474" i="5" s="1"/>
  <c r="F475" i="5" s="1"/>
  <c r="F476" i="5" s="1"/>
  <c r="F477" i="5" s="1"/>
  <c r="F478" i="5" s="1"/>
  <c r="F479" i="5" s="1"/>
  <c r="F480" i="5" s="1"/>
  <c r="F481" i="5" s="1"/>
  <c r="F482" i="5" s="1"/>
  <c r="F483" i="5" s="1"/>
  <c r="F484" i="5" s="1"/>
  <c r="C9" i="5" s="1"/>
  <c r="D9" i="5" s="1"/>
  <c r="I364" i="5"/>
  <c r="C8" i="5" s="1"/>
  <c r="D8" i="5" s="1"/>
  <c r="I26"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tc={3C3E9C40-955F-4A89-90EC-B4B6F9E7EF12}</author>
    <author>tc={BDD43CED-CC94-4D70-8C16-34358B063A2F}</author>
    <author>tc={64F56BC8-8930-4410-915A-B9C5809E1B37}</author>
    <author>tc={25892125-B687-4E75-A0C4-EF3ADD0FE6EE}</author>
    <author/>
  </authors>
  <commentList>
    <comment ref="C17" authorId="0" shapeId="0" xr:uid="{3C3E9C40-955F-4A89-90EC-B4B6F9E7EF12}">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Bundesland
Grunderwerbsteuer
Baden-Württemberg 5,0 %
Bayern 3,5 %
Berlin 6,0 %
Brandenburg 6,5 %
Bremen 5,0 %
Hamburg 4,5 %
Hessen 6,0 %
Mecklenburg-Vorpommern 6,0 %Niedersachsen 5,0 %
Nordrhein-Westfalen 6,5 %
Rheinland-Pfalz 5,0 %
Saarland 6,5 %
Sachsen 3,5 %
Sachsen-Anhalt 5,0 %
Schleswig-Holstein 6,5 %
Thüringen 6,5 % </t>
      </text>
    </comment>
    <comment ref="D47" authorId="1" shapeId="0" xr:uid="{BDD43CED-CC94-4D70-8C16-34358B063A2F}">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Achtung je nach Objekt/Kaufpreis kann das hier auch 0% Wachstum oder negativ sein!</t>
      </text>
    </comment>
    <comment ref="J48" authorId="2" shapeId="0" xr:uid="{64F56BC8-8930-4410-915A-B9C5809E1B37}">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Im Jahr 0 = Kaufnebenkosten</t>
      </text>
    </comment>
    <comment ref="J50" authorId="3" shapeId="0" xr:uid="{25892125-B687-4E75-A0C4-EF3ADD0FE6EE}">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In der Spalte links seht ihr euren bisheren „Invest“ (Eigenkapital +Summe aller Cashflows), und hier euren aktuellen Vermögenswert</t>
      </text>
    </comment>
    <comment ref="G96" authorId="4" shapeId="0" xr:uid="{00000000-0006-0000-0100-000001000000}">
      <text>
        <r>
          <rPr>
            <sz val="12"/>
            <color theme="1"/>
            <rFont val="Helvetica Neue"/>
            <scheme val="minor"/>
          </rPr>
          <t>======
ID#AAABTahodI4
    (2024-08-09 17:43:58)
bitte über Rechner der Gesellschaft (z.B. Condor) verifizieren, Ablaufleistung bei 0% Wertentwicklung (Nettomethode) zum Rentenbeginn 67 muss der Restschuld entsprechen.</t>
        </r>
      </text>
    </comment>
  </commentList>
  <extLst>
    <ext xmlns:r="http://schemas.openxmlformats.org/officeDocument/2006/relationships" uri="GoogleSheetsCustomDataVersion2">
      <go:sheetsCustomData xmlns:go="http://customooxmlschemas.google.com/" r:id="rId1" roundtripDataSignature="AMtx7miMcvRvDTPyxubNUdx3BdKiK2KNxA=="/>
    </ext>
  </extLst>
</comments>
</file>

<file path=xl/sharedStrings.xml><?xml version="1.0" encoding="utf-8"?>
<sst xmlns="http://schemas.openxmlformats.org/spreadsheetml/2006/main" count="473" uniqueCount="324">
  <si>
    <t>Wie wähle ich eine Einheit aus?</t>
  </si>
  <si>
    <t>Zelle</t>
  </si>
  <si>
    <t>Dropdown-Menü mit allen verfügbaren Einheiten des Projekts. Auf Basis der Auswahl werden die einheitspezifischen Angaben befüllt.</t>
  </si>
  <si>
    <t>D4</t>
  </si>
  <si>
    <t>Wann befülle ich das Feld Renovierung?</t>
  </si>
  <si>
    <t>Wenn zusätzliche Investitionen in die Wohnung (= Sondereigentum), die der Kunde kauft, mitfinanziert werden sollen. Beispielsweise bei Domicil finanzieren bestimmte Banken die Renovierung zum Kaufzeitpunkt und bieten teilweise eine Abrufbarkeit innerhalb von 10 Jahren.</t>
  </si>
  <si>
    <t>D8</t>
  </si>
  <si>
    <t>...</t>
  </si>
  <si>
    <t>Gebäudeart:</t>
  </si>
  <si>
    <t>Preis je</t>
  </si>
  <si>
    <t>Adresse:</t>
  </si>
  <si>
    <t>qm</t>
  </si>
  <si>
    <t>Wohnung Nr.:</t>
  </si>
  <si>
    <t>Qudratmeter:</t>
  </si>
  <si>
    <t>Zimmeranzahl:</t>
  </si>
  <si>
    <t>Kaufpreis Wohnung:</t>
  </si>
  <si>
    <t>ledig</t>
  </si>
  <si>
    <t>Renovierung:</t>
  </si>
  <si>
    <t>Summe Kaufpreis:</t>
  </si>
  <si>
    <t>Sparplan am Beispiel LV 1871</t>
  </si>
  <si>
    <t>Grunderwerbssteuer:</t>
  </si>
  <si>
    <t>Notar und Grundbuch:</t>
  </si>
  <si>
    <t>Rückkaufswert Sparplan</t>
  </si>
  <si>
    <t>Maklergebühr:</t>
  </si>
  <si>
    <t>Summe Nebenkosten (NK):</t>
  </si>
  <si>
    <t>Eigenkapital:</t>
  </si>
  <si>
    <t>Haftungsvorbehalt</t>
  </si>
  <si>
    <t>Darlehenssumme:</t>
  </si>
  <si>
    <t>Die Berechnung zeigt den modellhaften Investitionsverlauf anhand der von Ihnen eingegebenen Daten und Werte an. Für den Eintritt der zugrundeliegenden Annahmen kann keine Garantie und keine Haftung übernommmen werden. Die Berechnung geht von bestimmten Annahmen aus, die bei dieser Art der Berechnung nur begrenzt überprüft werden. Insbesondere die Gültigkeit der zugrundegelegten Konditionen kann zum Berechnungszeitpunkt nicht überprüft werden.
Eine Gewähr sowie Haftung für dieses Berechnungsbeispiel kann wegen möglicher Rechenfehler, Änderungen der Steuergesetze, Zinskonditionen und Ihrer persönlichen Einkommens- und Vermögensverhältnisse nicht übernommen werden. Es handelt sich hierbei um ein unverbindliches Rechenbeispiel. Diese Beispielrechnung stellt keine Steuer- und Rechtsberatung dar.
Es wird in jedem Fall dazu geraten, diese von Ihnen erstellte Berechnung von Ihrem Steuerberater überprüfen zu lassen.</t>
  </si>
  <si>
    <t>Zinssatz</t>
  </si>
  <si>
    <t xml:space="preserve">nicht umlegbare Nebenkosten </t>
  </si>
  <si>
    <t>Instandhaltung</t>
  </si>
  <si>
    <t>WEG Verwaltung</t>
  </si>
  <si>
    <t>SE Verwaltung &amp; Mietpool</t>
  </si>
  <si>
    <t>Summe Zahlungen (mtl.)</t>
  </si>
  <si>
    <t>Mieteinnahmen</t>
  </si>
  <si>
    <t>CF vor Tilgung (mtl.):</t>
  </si>
  <si>
    <t>CF:</t>
  </si>
  <si>
    <t>Tilgungssatz</t>
  </si>
  <si>
    <t>Sparplan</t>
  </si>
  <si>
    <t>Jahre</t>
  </si>
  <si>
    <t>Restschuld</t>
  </si>
  <si>
    <t>Immowert</t>
  </si>
  <si>
    <t>Fondssparplan</t>
  </si>
  <si>
    <t>Einzahlung</t>
  </si>
  <si>
    <t>Vermögen</t>
  </si>
  <si>
    <t>Immowertsteigerung p.a.</t>
  </si>
  <si>
    <t>Korrektur Immobilienpreise in 3 Jahren</t>
  </si>
  <si>
    <t>Sparplanrendite p.a.</t>
  </si>
  <si>
    <t>Mieterhöhung p.a.</t>
  </si>
  <si>
    <t>Einkommensteigerung p.a.</t>
  </si>
  <si>
    <t>Kosteninflation p.a.</t>
  </si>
  <si>
    <t>Abschreibung p.a.</t>
  </si>
  <si>
    <t>Grundstücksanteil</t>
  </si>
  <si>
    <t>Renovierung wird mitfinanziert?</t>
  </si>
  <si>
    <t>ja</t>
  </si>
  <si>
    <t>Beurkundung im Angebotsverfahren?</t>
  </si>
  <si>
    <t>nein</t>
  </si>
  <si>
    <t>Jahre bis 67</t>
  </si>
  <si>
    <t>zu versteuerndes Einkommen mit 67</t>
  </si>
  <si>
    <t>Umschuldung Jahr 11</t>
  </si>
  <si>
    <t>Zins</t>
  </si>
  <si>
    <t>Tilgung</t>
  </si>
  <si>
    <t>Umschuldung Jahr 15</t>
  </si>
  <si>
    <t>Zustand SE</t>
  </si>
  <si>
    <t>Bemerkung</t>
  </si>
  <si>
    <t>Einheit</t>
  </si>
  <si>
    <t>Zimmer</t>
  </si>
  <si>
    <t>Wohnfläche</t>
  </si>
  <si>
    <t>Kaufpreis Immobilie</t>
  </si>
  <si>
    <r>
      <rPr>
        <b/>
        <sz val="10"/>
        <color rgb="FF000000"/>
        <rFont val="Calibri"/>
      </rPr>
      <t xml:space="preserve">Zusatz
</t>
    </r>
    <r>
      <rPr>
        <b/>
        <sz val="6"/>
        <color rgb="FF000000"/>
        <rFont val="Calibri"/>
      </rPr>
      <t xml:space="preserve"> (Garage, Stellplatz, Einbauküche)</t>
    </r>
  </si>
  <si>
    <t>Zusatz Bezeichnung</t>
  </si>
  <si>
    <t>Kaufpreis Zusatz</t>
  </si>
  <si>
    <t>Etage im Objekt</t>
  </si>
  <si>
    <t>Lage im Objekt</t>
  </si>
  <si>
    <t>Miete Immobilie</t>
  </si>
  <si>
    <t>Miete Zusatz</t>
  </si>
  <si>
    <t>WEG-Verwaltung</t>
  </si>
  <si>
    <t>SE-Verwaltung</t>
  </si>
  <si>
    <t>Mietpool-GF</t>
  </si>
  <si>
    <t>Instandhaltungsrücklage</t>
  </si>
  <si>
    <t>n. uml. NK</t>
  </si>
  <si>
    <t>Renovierungsrücklage WEG</t>
  </si>
  <si>
    <t>Renovierungsrücklage SE</t>
  </si>
  <si>
    <t>MEA [%]</t>
  </si>
  <si>
    <t>81</t>
  </si>
  <si>
    <t>Stellplatz</t>
  </si>
  <si>
    <t>1.OG</t>
  </si>
  <si>
    <t>Miete</t>
  </si>
  <si>
    <t>Miete alt</t>
  </si>
  <si>
    <t>Mietsteigerung p.a.</t>
  </si>
  <si>
    <t>Xint 10 Jahre</t>
  </si>
  <si>
    <t>Xint 20 Jahre</t>
  </si>
  <si>
    <t>Xint 30 Jahre</t>
  </si>
  <si>
    <t>Xint 40 Jahre</t>
  </si>
  <si>
    <t>Kosten eff. Depot</t>
  </si>
  <si>
    <t>Steuer</t>
  </si>
  <si>
    <t>10 Jahre</t>
  </si>
  <si>
    <t>Kosten eff. Flex (Versicherung + Fonds)</t>
  </si>
  <si>
    <t>20 Jahre</t>
  </si>
  <si>
    <t>30 Jahre</t>
  </si>
  <si>
    <t>40 Jahre</t>
  </si>
  <si>
    <t>MIETE ZIEL</t>
  </si>
  <si>
    <t>MIETE AKTUELL</t>
  </si>
  <si>
    <t>Jahr
[t]</t>
  </si>
  <si>
    <t>Zahluungsfluss
[DATE]</t>
  </si>
  <si>
    <t>Vergleich all
Miete akt.
ledig
STANDARD
[EUR]</t>
  </si>
  <si>
    <t>Vergleich 10y
Miete akt.
ledig
STANDARD
[EUR]</t>
  </si>
  <si>
    <t>Vergleich 20y
Miete akt.
ledig
STANDARD
[EUR]</t>
  </si>
  <si>
    <t>Vergleich 30y
Miete akt.
ledig
STANDARD
[EUR]</t>
  </si>
  <si>
    <t>Vergleich 40y
Miete akt.
ledig
STANDARD
[EUR]</t>
  </si>
  <si>
    <t>Vergleich 10y
Miete akt.
verh.
STANDARD
[EUR]</t>
  </si>
  <si>
    <t>Vergleich 20y
Miete akt.
verh.
STANDARD
[EUR]</t>
  </si>
  <si>
    <t>Vergleich 30y
Miete akt.
verh.
STANDARD
[EUR]</t>
  </si>
  <si>
    <t>Vergleich 40y
Miete akt.
verh.
STANDARD
[EUR]</t>
  </si>
  <si>
    <t>Vergleich 10y
Miete akt.
ledig
t11
[EUR]</t>
  </si>
  <si>
    <t>Vergleich 20y
Miete akt.
ledig
t11
[EUR]</t>
  </si>
  <si>
    <t>Vergleich 30y
Miete akt.
ledig
t11
[EUR]</t>
  </si>
  <si>
    <t>Vergleich 40y
Miete akt.
ledig
t11
[EUR]</t>
  </si>
  <si>
    <t>Vergleich 10y
Miete akt.
ledig
t16
[EUR]</t>
  </si>
  <si>
    <t>Vergleich 20y
Miete akt.
ledig
t16
[EUR]</t>
  </si>
  <si>
    <t>Vergleich 30y
Miete akt.
ledig
t16
[EUR]</t>
  </si>
  <si>
    <t>Vergleich 40y
Miete akt.
ledig
t16
[EUR]</t>
  </si>
  <si>
    <t>Vergleich all
Miete ZIEL
ledig
STANDARD
[EUR]</t>
  </si>
  <si>
    <t>Vergleich 10y
Miete ZIEL
ledig
STANDARD
[EUR]</t>
  </si>
  <si>
    <t>Vergleich 20y
Miete ZIEL
ledig
STANDARD
[EUR]</t>
  </si>
  <si>
    <t>Vergleich 30y
Miete ZIEL
ledig
STANDARD
[EUR]</t>
  </si>
  <si>
    <t>Vergleich 40y
Miete ZIEL
ledig
STANDARD
[EUR]</t>
  </si>
  <si>
    <t>Vergleich 10y
Miete ZIEL
verh.
STANDARD
[EUR]</t>
  </si>
  <si>
    <t>Vergleich 20y
Miete ZIEL
verh.
STANDARD
[EUR]</t>
  </si>
  <si>
    <t>Vergleich 30y
Miete ZIEL
verh.
STANDARD
[EUR]</t>
  </si>
  <si>
    <t>Vergleich 40y
Miete ZIEL
verh.
STANDARD
[EUR]</t>
  </si>
  <si>
    <t>Vergleich 10y
Miete ZIEL
ledig
t11
[EUR]</t>
  </si>
  <si>
    <t>Vergleich 20y
Miete ZIEL
ledig
t11
[EUR]</t>
  </si>
  <si>
    <t>Vergleich 30y
Miete ZIEL
ledig
t11
[EUR]</t>
  </si>
  <si>
    <t>Vergleich 40y
Miete ZIEL
ledig
t11
[EUR]</t>
  </si>
  <si>
    <t>Vergleich 10y
Miete ZIEL
ledig
t16
[EUR]</t>
  </si>
  <si>
    <t>Vergleich 20y
Miete ZIEL
ledig
t16
[EUR]</t>
  </si>
  <si>
    <t>Vergleich 30y
Miete ZIEL
ledig
t16
[EUR]</t>
  </si>
  <si>
    <t>Vergleich 40y
Miete ZIEL
ledig
t16
[EUR]</t>
  </si>
  <si>
    <t>Situation mit Alter 67</t>
  </si>
  <si>
    <t>maximale Tilgung der RS durch Sparplan</t>
  </si>
  <si>
    <t>Sparplan Beiträge kumuliert</t>
  </si>
  <si>
    <t>Restschuld - Sparplan (maximal 0)</t>
  </si>
  <si>
    <t>Situation bei Umschuldung</t>
  </si>
  <si>
    <t>neu</t>
  </si>
  <si>
    <t>Angaben auf monatlicher Basis</t>
  </si>
  <si>
    <t>Kunde</t>
  </si>
  <si>
    <t>Geburtsdatum / Alter</t>
  </si>
  <si>
    <t>Datum / Laufzeit 67</t>
  </si>
  <si>
    <t>Datum / Laufzeit 75</t>
  </si>
  <si>
    <t>Rückkaufswert bestehender Sparplan</t>
  </si>
  <si>
    <t>Darlehen klassisch</t>
  </si>
  <si>
    <t>VoBa Neckartal</t>
  </si>
  <si>
    <t>VoBa Kurpfalz</t>
  </si>
  <si>
    <t>COMMERZBANK</t>
  </si>
  <si>
    <t>Anteil klassisch</t>
  </si>
  <si>
    <t>Darlehensbetrag</t>
  </si>
  <si>
    <t>Restschuld 67</t>
  </si>
  <si>
    <t>Restschuld 75</t>
  </si>
  <si>
    <t>Mindesttilgung</t>
  </si>
  <si>
    <t>Korrektur Sparplanbeitrag</t>
  </si>
  <si>
    <t>Rendite Sparplan p.a.</t>
  </si>
  <si>
    <t>Kosten Sparplan bei 0% Rendite</t>
  </si>
  <si>
    <t>Sparplan LZ 67</t>
  </si>
  <si>
    <t>Sparplan LZ 75 (Beitrag bis 67)</t>
  </si>
  <si>
    <t>Gesamtbetrachtung 67</t>
  </si>
  <si>
    <t>Gesamttilgung</t>
  </si>
  <si>
    <t>--&gt; bitte über Rechner der Gesellschaft (z.B. LV 1871) verifizieren, Ablaufleistung bei 0% Wertentwicklung (Nettomethode) zum Rentenbeginn 67 muss der Restschuld entsprechen.</t>
  </si>
  <si>
    <t>Wohneinheit</t>
  </si>
  <si>
    <t>Garage</t>
  </si>
  <si>
    <t>Sonstiges</t>
  </si>
  <si>
    <t>Gemeinschaftseigentum</t>
  </si>
  <si>
    <t xml:space="preserve"> / qm</t>
  </si>
  <si>
    <t>nicht umlagefähige Nebenkosten inkl lfd. Instandhaltung</t>
  </si>
  <si>
    <t>Mietpool (GF)</t>
  </si>
  <si>
    <t>fix</t>
  </si>
  <si>
    <t>variabel</t>
  </si>
  <si>
    <t>Mietgarantie</t>
  </si>
  <si>
    <t>Wohnung</t>
  </si>
  <si>
    <t>https://www.finanz-tools.de/einkommensteuer/berechnung-formeln/2023</t>
  </si>
  <si>
    <t>bis</t>
  </si>
  <si>
    <t>https://www.bmf-steuerrechner.de/ekst/eingabeformekst.xhtml?ekst-result=true</t>
  </si>
  <si>
    <t>erstellt von</t>
  </si>
  <si>
    <t>Gereon Trelle</t>
  </si>
  <si>
    <t>Kaufpreis:</t>
  </si>
  <si>
    <t>Kaufpreis Stellplatz:</t>
  </si>
  <si>
    <t>Summe Investition:</t>
  </si>
  <si>
    <r>
      <t xml:space="preserve">Beitrag mtl. Sparplan </t>
    </r>
    <r>
      <rPr>
        <b/>
        <sz val="11"/>
        <color rgb="FFFF0000"/>
        <rFont val="Calibri"/>
        <family val="2"/>
      </rPr>
      <t>ca.</t>
    </r>
  </si>
  <si>
    <t>Cashflow nach Tilgung (mtl.)</t>
  </si>
  <si>
    <t>IST-Miete</t>
  </si>
  <si>
    <t>SOLL-Miete</t>
  </si>
  <si>
    <t>Tilgung mtl.</t>
  </si>
  <si>
    <t>2-ZKB</t>
  </si>
  <si>
    <t>Immobilie:</t>
  </si>
  <si>
    <t>Szenario</t>
  </si>
  <si>
    <t>Cashflow (mtl.):</t>
  </si>
  <si>
    <t>Bruttorendite</t>
  </si>
  <si>
    <t>Jahr</t>
  </si>
  <si>
    <t>Cashflow w/o Miete</t>
  </si>
  <si>
    <t>je m²</t>
  </si>
  <si>
    <t>Familienstand Käufer:</t>
  </si>
  <si>
    <t>Zu versteuerndes Einkommen:</t>
  </si>
  <si>
    <t>Geboren am:</t>
  </si>
  <si>
    <t>Aktuelles Jahr:</t>
  </si>
  <si>
    <t xml:space="preserve"> je m²</t>
  </si>
  <si>
    <t>-</t>
  </si>
  <si>
    <t>Leerstand</t>
  </si>
  <si>
    <t>Einkommen &amp; Steuern</t>
  </si>
  <si>
    <t>Mietentwicklung</t>
  </si>
  <si>
    <t>SOLL-Miete je Quadratmeter (zeitnahe Anpassung)</t>
  </si>
  <si>
    <t>Immobilienmarkt</t>
  </si>
  <si>
    <t>Prognose Parameter</t>
  </si>
  <si>
    <r>
      <rPr>
        <b/>
        <sz val="10"/>
        <color theme="1"/>
        <rFont val="Calibri"/>
        <family val="2"/>
      </rPr>
      <t xml:space="preserve">Immobilie
</t>
    </r>
    <r>
      <rPr>
        <sz val="10"/>
        <color theme="1"/>
        <rFont val="Calibri"/>
        <family val="2"/>
      </rPr>
      <t xml:space="preserve">
Jahr
---
Wert + Inflation + Entwicklung
---
[EUR]</t>
    </r>
  </si>
  <si>
    <r>
      <rPr>
        <b/>
        <sz val="10"/>
        <color theme="1"/>
        <rFont val="Calibri"/>
        <family val="2"/>
      </rPr>
      <t xml:space="preserve">Parken
</t>
    </r>
    <r>
      <rPr>
        <sz val="10"/>
        <color theme="1"/>
        <rFont val="Calibri"/>
        <family val="2"/>
      </rPr>
      <t xml:space="preserve">
Jahr
---
Wert + Inflation + Entwicklung
---
[EUR]</t>
    </r>
  </si>
  <si>
    <r>
      <rPr>
        <b/>
        <sz val="10"/>
        <color theme="1"/>
        <rFont val="Calibri"/>
        <family val="2"/>
      </rPr>
      <t xml:space="preserve">Gesamt
</t>
    </r>
    <r>
      <rPr>
        <sz val="10"/>
        <color theme="1"/>
        <rFont val="Calibri"/>
        <family val="2"/>
      </rPr>
      <t xml:space="preserve">
Jahr
---
Immobilie + Parken
---
[EUR]</t>
    </r>
  </si>
  <si>
    <r>
      <rPr>
        <b/>
        <sz val="10"/>
        <color theme="1"/>
        <rFont val="Calibri"/>
        <family val="2"/>
      </rPr>
      <t>Renovierung</t>
    </r>
    <r>
      <rPr>
        <sz val="10"/>
        <color theme="1"/>
        <rFont val="Calibri"/>
        <family val="2"/>
      </rPr>
      <t xml:space="preserve">
Jahr
---
Kosten
---
[EUR]</t>
    </r>
  </si>
  <si>
    <r>
      <rPr>
        <b/>
        <sz val="10"/>
        <color theme="1"/>
        <rFont val="Calibri"/>
        <family val="2"/>
      </rPr>
      <t>Darlehen
Restschuld</t>
    </r>
    <r>
      <rPr>
        <sz val="10"/>
        <color theme="1"/>
        <rFont val="Calibri"/>
        <family val="2"/>
      </rPr>
      <t xml:space="preserve">
Jahr
---
---
STANDARD
[EUR]</t>
    </r>
  </si>
  <si>
    <r>
      <rPr>
        <b/>
        <sz val="10"/>
        <color theme="1"/>
        <rFont val="Calibri"/>
        <family val="2"/>
      </rPr>
      <t>Darlehen
Zins</t>
    </r>
    <r>
      <rPr>
        <sz val="10"/>
        <color theme="1"/>
        <rFont val="Calibri"/>
        <family val="2"/>
      </rPr>
      <t xml:space="preserve">
Jahr
---
---
STANDARD
[EUR]</t>
    </r>
  </si>
  <si>
    <r>
      <rPr>
        <b/>
        <sz val="10"/>
        <color theme="1"/>
        <rFont val="Calibri"/>
        <family val="2"/>
      </rPr>
      <t>Darlehen
Tilgung</t>
    </r>
    <r>
      <rPr>
        <sz val="10"/>
        <color theme="1"/>
        <rFont val="Calibri"/>
        <family val="2"/>
      </rPr>
      <t xml:space="preserve">
Jahr
---
---
STANDARD
[EUR]</t>
    </r>
  </si>
  <si>
    <r>
      <rPr>
        <b/>
        <sz val="10"/>
        <color theme="1"/>
        <rFont val="Calibri"/>
        <family val="2"/>
      </rPr>
      <t>Darlehen
Annuität</t>
    </r>
    <r>
      <rPr>
        <sz val="10"/>
        <color theme="1"/>
        <rFont val="Calibri"/>
        <family val="2"/>
      </rPr>
      <t xml:space="preserve">
Jahr
---
---
STANDARD
[EUR]</t>
    </r>
  </si>
  <si>
    <r>
      <rPr>
        <b/>
        <sz val="10"/>
        <color theme="1"/>
        <rFont val="Calibri"/>
        <family val="2"/>
      </rPr>
      <t>Darlehen
Restschuld</t>
    </r>
    <r>
      <rPr>
        <sz val="10"/>
        <color theme="1"/>
        <rFont val="Calibri"/>
        <family val="2"/>
      </rPr>
      <t xml:space="preserve">
Jahr
---
---
t11
[EUR]</t>
    </r>
  </si>
  <si>
    <r>
      <rPr>
        <b/>
        <sz val="10"/>
        <color theme="1"/>
        <rFont val="Calibri"/>
        <family val="2"/>
      </rPr>
      <t>Darlehen
Zins</t>
    </r>
    <r>
      <rPr>
        <sz val="10"/>
        <color theme="1"/>
        <rFont val="Calibri"/>
        <family val="2"/>
      </rPr>
      <t xml:space="preserve">
Jahr
---
---
t11
[EUR]</t>
    </r>
  </si>
  <si>
    <r>
      <rPr>
        <b/>
        <sz val="10"/>
        <color theme="1"/>
        <rFont val="Calibri"/>
        <family val="2"/>
      </rPr>
      <t>Darlehen
Tilgung</t>
    </r>
    <r>
      <rPr>
        <sz val="10"/>
        <color theme="1"/>
        <rFont val="Calibri"/>
        <family val="2"/>
      </rPr>
      <t xml:space="preserve">
Jahr
---
---
t11
[EUR]</t>
    </r>
  </si>
  <si>
    <r>
      <rPr>
        <b/>
        <sz val="10"/>
        <color theme="1"/>
        <rFont val="Calibri"/>
        <family val="2"/>
      </rPr>
      <t>Darlehen
Annuität</t>
    </r>
    <r>
      <rPr>
        <sz val="10"/>
        <color theme="1"/>
        <rFont val="Calibri"/>
        <family val="2"/>
      </rPr>
      <t xml:space="preserve">
Jahr
---
---
t11
[EUR]</t>
    </r>
  </si>
  <si>
    <r>
      <rPr>
        <b/>
        <sz val="10"/>
        <color theme="1"/>
        <rFont val="Calibri"/>
        <family val="2"/>
      </rPr>
      <t>Darlehen
Restschuld</t>
    </r>
    <r>
      <rPr>
        <sz val="10"/>
        <color theme="1"/>
        <rFont val="Calibri"/>
        <family val="2"/>
      </rPr>
      <t xml:space="preserve">
Jahr
---
---
t16
[EUR]</t>
    </r>
  </si>
  <si>
    <r>
      <rPr>
        <b/>
        <sz val="10"/>
        <color theme="1"/>
        <rFont val="Calibri"/>
        <family val="2"/>
      </rPr>
      <t>Darlehen
Zins</t>
    </r>
    <r>
      <rPr>
        <sz val="10"/>
        <color theme="1"/>
        <rFont val="Calibri"/>
        <family val="2"/>
      </rPr>
      <t xml:space="preserve">
Jahr
---
---
t16
[EUR]</t>
    </r>
  </si>
  <si>
    <r>
      <rPr>
        <b/>
        <sz val="10"/>
        <color theme="1"/>
        <rFont val="Calibri"/>
        <family val="2"/>
      </rPr>
      <t>Darlehen
Tilgung</t>
    </r>
    <r>
      <rPr>
        <sz val="10"/>
        <color theme="1"/>
        <rFont val="Calibri"/>
        <family val="2"/>
      </rPr>
      <t xml:space="preserve">
Jahr
---
---
t16
[EUR]</t>
    </r>
  </si>
  <si>
    <r>
      <rPr>
        <b/>
        <sz val="10"/>
        <color theme="1"/>
        <rFont val="Calibri"/>
        <family val="2"/>
      </rPr>
      <t>Darlehen
Annuität</t>
    </r>
    <r>
      <rPr>
        <sz val="10"/>
        <color theme="1"/>
        <rFont val="Calibri"/>
        <family val="2"/>
      </rPr>
      <t xml:space="preserve">
Jahr
---
---
t16
[EUR]</t>
    </r>
  </si>
  <si>
    <r>
      <rPr>
        <b/>
        <sz val="10"/>
        <color theme="1"/>
        <rFont val="Calibri"/>
        <family val="2"/>
      </rPr>
      <t>Nebenkosten absetzbar</t>
    </r>
    <r>
      <rPr>
        <sz val="10"/>
        <color theme="1"/>
        <rFont val="Calibri"/>
        <family val="2"/>
      </rPr>
      <t xml:space="preserve">
Jahr
---
---
[EUR]</t>
    </r>
  </si>
  <si>
    <r>
      <rPr>
        <b/>
        <sz val="10"/>
        <color theme="1"/>
        <rFont val="Calibri"/>
        <family val="2"/>
      </rPr>
      <t>Nebenkosten nicht umlegbar</t>
    </r>
    <r>
      <rPr>
        <sz val="10"/>
        <color theme="1"/>
        <rFont val="Calibri"/>
        <family val="2"/>
      </rPr>
      <t xml:space="preserve">
Jahr
---
---
[EUR]</t>
    </r>
  </si>
  <si>
    <r>
      <rPr>
        <b/>
        <sz val="10"/>
        <color theme="1"/>
        <rFont val="Calibri"/>
        <family val="2"/>
      </rPr>
      <t>Nebenkosten
WEG-Verwaltung</t>
    </r>
    <r>
      <rPr>
        <sz val="10"/>
        <color theme="1"/>
        <rFont val="Calibri"/>
        <family val="2"/>
      </rPr>
      <t xml:space="preserve">
Jahr
---
---
[EUR]</t>
    </r>
  </si>
  <si>
    <r>
      <rPr>
        <b/>
        <sz val="10"/>
        <color theme="1"/>
        <rFont val="Calibri"/>
        <family val="2"/>
      </rPr>
      <t>Nebenkosten
SEV / Mietpool</t>
    </r>
    <r>
      <rPr>
        <sz val="10"/>
        <color theme="1"/>
        <rFont val="Calibri"/>
        <family val="2"/>
      </rPr>
      <t xml:space="preserve">
Jahr
---
---
[EUR]</t>
    </r>
  </si>
  <si>
    <r>
      <rPr>
        <b/>
        <sz val="10"/>
        <color theme="1"/>
        <rFont val="Calibri"/>
        <family val="2"/>
      </rPr>
      <t>Instandhaltung Rücklage WEG</t>
    </r>
    <r>
      <rPr>
        <sz val="10"/>
        <color theme="1"/>
        <rFont val="Calibri"/>
        <family val="2"/>
      </rPr>
      <t xml:space="preserve">
Jahr
---
---
[EUR]</t>
    </r>
  </si>
  <si>
    <r>
      <rPr>
        <b/>
        <sz val="10"/>
        <color theme="1"/>
        <rFont val="Calibri"/>
        <family val="2"/>
      </rPr>
      <t>Miete
Kalt</t>
    </r>
    <r>
      <rPr>
        <sz val="10"/>
        <color theme="1"/>
        <rFont val="Calibri"/>
        <family val="2"/>
      </rPr>
      <t xml:space="preserve">
Jahr
---
---
AKTUELL
[EUR]</t>
    </r>
  </si>
  <si>
    <r>
      <rPr>
        <b/>
        <sz val="10"/>
        <color theme="1"/>
        <rFont val="Calibri"/>
        <family val="2"/>
      </rPr>
      <t>Miete
Kalt</t>
    </r>
    <r>
      <rPr>
        <sz val="10"/>
        <color theme="1"/>
        <rFont val="Calibri"/>
        <family val="2"/>
      </rPr>
      <t xml:space="preserve">
Jahr
---
---
ZIEL
[EUR]</t>
    </r>
  </si>
  <si>
    <r>
      <rPr>
        <b/>
        <sz val="10"/>
        <color theme="1"/>
        <rFont val="Calibri"/>
        <family val="2"/>
      </rPr>
      <t>Sparplan
Beitrag</t>
    </r>
    <r>
      <rPr>
        <sz val="10"/>
        <color theme="1"/>
        <rFont val="Calibri"/>
        <family val="2"/>
      </rPr>
      <t xml:space="preserve">
Jahr
---
bestehender Rückkaufswert in t0; anschließend Sparrate
---
[EUR]</t>
    </r>
  </si>
  <si>
    <r>
      <rPr>
        <b/>
        <sz val="10"/>
        <color theme="1"/>
        <rFont val="Calibri"/>
        <family val="2"/>
      </rPr>
      <t>Sparplan
Beitrag</t>
    </r>
    <r>
      <rPr>
        <sz val="10"/>
        <color theme="1"/>
        <rFont val="Calibri"/>
        <family val="2"/>
      </rPr>
      <t xml:space="preserve">
kumuliert
---
bestehender Rückkaufswert in t0 + Sparrate
---
[EUR]</t>
    </r>
  </si>
  <si>
    <r>
      <rPr>
        <b/>
        <sz val="10"/>
        <color theme="1"/>
        <rFont val="Calibri"/>
        <family val="2"/>
      </rPr>
      <t>Sparplan
Wert</t>
    </r>
    <r>
      <rPr>
        <sz val="10"/>
        <color theme="1"/>
        <rFont val="Calibri"/>
        <family val="2"/>
      </rPr>
      <t xml:space="preserve">
kumuliert
---
bestehender Rückkaufswert + Sparrate + Zins/ Zinseszins
---
[EUR]</t>
    </r>
  </si>
  <si>
    <r>
      <rPr>
        <b/>
        <sz val="10"/>
        <color theme="1"/>
        <rFont val="Calibri"/>
        <family val="2"/>
      </rPr>
      <t xml:space="preserve">zvst. 
Einkommen
</t>
    </r>
    <r>
      <rPr>
        <sz val="10"/>
        <color theme="1"/>
        <rFont val="Calibri"/>
        <family val="2"/>
      </rPr>
      <t>Jahr
---
---
exAnte
[EUR]</t>
    </r>
  </si>
  <si>
    <r>
      <rPr>
        <b/>
        <sz val="10"/>
        <color theme="1"/>
        <rFont val="Calibri"/>
        <family val="2"/>
      </rPr>
      <t xml:space="preserve">ESt.
</t>
    </r>
    <r>
      <rPr>
        <sz val="10"/>
        <color theme="1"/>
        <rFont val="Calibri"/>
        <family val="2"/>
      </rPr>
      <t>Jahr
---
---
ledig
exAnte
[EUR]</t>
    </r>
  </si>
  <si>
    <r>
      <rPr>
        <b/>
        <sz val="10"/>
        <color theme="1"/>
        <rFont val="Calibri"/>
        <family val="2"/>
      </rPr>
      <t xml:space="preserve">ESt.
</t>
    </r>
    <r>
      <rPr>
        <sz val="10"/>
        <color theme="1"/>
        <rFont val="Calibri"/>
        <family val="2"/>
      </rPr>
      <t>Jahr
---
---
verheir.
exAnte
[EUR]</t>
    </r>
  </si>
  <si>
    <r>
      <rPr>
        <b/>
        <sz val="10"/>
        <color theme="1"/>
        <rFont val="Calibri"/>
        <family val="2"/>
      </rPr>
      <t xml:space="preserve">steuerl. Aufwand
</t>
    </r>
    <r>
      <rPr>
        <sz val="10"/>
        <color theme="1"/>
        <rFont val="Calibri"/>
        <family val="2"/>
      </rPr>
      <t>Jahr</t>
    </r>
    <r>
      <rPr>
        <b/>
        <sz val="10"/>
        <color theme="1"/>
        <rFont val="Calibri"/>
        <family val="2"/>
      </rPr>
      <t xml:space="preserve">
</t>
    </r>
    <r>
      <rPr>
        <sz val="10"/>
        <color theme="1"/>
        <rFont val="Calibri"/>
        <family val="2"/>
      </rPr>
      <t>---
Zins + absetzbare Nebenkosten + Mieteinnahmen
---
AKTUELL
STANDARD
[EUR]</t>
    </r>
  </si>
  <si>
    <r>
      <rPr>
        <b/>
        <sz val="10"/>
        <color theme="1"/>
        <rFont val="Calibri"/>
        <family val="2"/>
      </rPr>
      <t xml:space="preserve">steuerl. Aufwand
</t>
    </r>
    <r>
      <rPr>
        <sz val="10"/>
        <color theme="1"/>
        <rFont val="Calibri"/>
        <family val="2"/>
      </rPr>
      <t>Jahr</t>
    </r>
    <r>
      <rPr>
        <b/>
        <sz val="10"/>
        <color theme="1"/>
        <rFont val="Calibri"/>
        <family val="2"/>
      </rPr>
      <t xml:space="preserve">
</t>
    </r>
    <r>
      <rPr>
        <sz val="10"/>
        <color theme="1"/>
        <rFont val="Calibri"/>
        <family val="2"/>
      </rPr>
      <t>---
Zins + absetzbare Nebenkosten + Mieteinnahmen
---
AKTUELL
t11
[EUR]</t>
    </r>
  </si>
  <si>
    <r>
      <rPr>
        <b/>
        <sz val="10"/>
        <color theme="1"/>
        <rFont val="Calibri"/>
        <family val="2"/>
      </rPr>
      <t xml:space="preserve">steuerl. Aufwand
</t>
    </r>
    <r>
      <rPr>
        <sz val="10"/>
        <color theme="1"/>
        <rFont val="Calibri"/>
        <family val="2"/>
      </rPr>
      <t>Jahr</t>
    </r>
    <r>
      <rPr>
        <b/>
        <sz val="10"/>
        <color theme="1"/>
        <rFont val="Calibri"/>
        <family val="2"/>
      </rPr>
      <t xml:space="preserve">
</t>
    </r>
    <r>
      <rPr>
        <sz val="10"/>
        <color theme="1"/>
        <rFont val="Calibri"/>
        <family val="2"/>
      </rPr>
      <t>---
Zins + absetzbare Nebenkosten + Mieteinnahmen
---
AKTUELL
t16
[EUR]</t>
    </r>
  </si>
  <si>
    <r>
      <rPr>
        <b/>
        <sz val="10"/>
        <color theme="1"/>
        <rFont val="Calibri"/>
        <family val="2"/>
      </rPr>
      <t xml:space="preserve">steuerl. Aufwand
</t>
    </r>
    <r>
      <rPr>
        <sz val="10"/>
        <color theme="1"/>
        <rFont val="Calibri"/>
        <family val="2"/>
      </rPr>
      <t>Jahr</t>
    </r>
    <r>
      <rPr>
        <b/>
        <sz val="10"/>
        <color theme="1"/>
        <rFont val="Calibri"/>
        <family val="2"/>
      </rPr>
      <t xml:space="preserve">
</t>
    </r>
    <r>
      <rPr>
        <sz val="10"/>
        <color theme="1"/>
        <rFont val="Calibri"/>
        <family val="2"/>
      </rPr>
      <t>---
Zins + absetzbare Nebenkosten + Mieteinnahmen
---
ZIEL
STANDARD
[EUR]</t>
    </r>
  </si>
  <si>
    <r>
      <rPr>
        <b/>
        <sz val="10"/>
        <color theme="1"/>
        <rFont val="Calibri"/>
        <family val="2"/>
      </rPr>
      <t xml:space="preserve">steuerl. Aufwand
</t>
    </r>
    <r>
      <rPr>
        <sz val="10"/>
        <color theme="1"/>
        <rFont val="Calibri"/>
        <family val="2"/>
      </rPr>
      <t>Jahr</t>
    </r>
    <r>
      <rPr>
        <b/>
        <sz val="10"/>
        <color theme="1"/>
        <rFont val="Calibri"/>
        <family val="2"/>
      </rPr>
      <t xml:space="preserve">
</t>
    </r>
    <r>
      <rPr>
        <sz val="10"/>
        <color theme="1"/>
        <rFont val="Calibri"/>
        <family val="2"/>
      </rPr>
      <t>---
Zins + absetzbare Nebenkosten + Mieteinnahmen
---
ZIEL
t11
[EUR]</t>
    </r>
  </si>
  <si>
    <r>
      <rPr>
        <b/>
        <sz val="10"/>
        <color theme="1"/>
        <rFont val="Calibri"/>
        <family val="2"/>
      </rPr>
      <t xml:space="preserve">steuerl. Aufwand
</t>
    </r>
    <r>
      <rPr>
        <sz val="10"/>
        <color theme="1"/>
        <rFont val="Calibri"/>
        <family val="2"/>
      </rPr>
      <t>Jahr</t>
    </r>
    <r>
      <rPr>
        <b/>
        <sz val="10"/>
        <color theme="1"/>
        <rFont val="Calibri"/>
        <family val="2"/>
      </rPr>
      <t xml:space="preserve">
</t>
    </r>
    <r>
      <rPr>
        <sz val="10"/>
        <color theme="1"/>
        <rFont val="Calibri"/>
        <family val="2"/>
      </rPr>
      <t>---
Zins + absetzbare Nebenkosten + Mieteinnahmen
---
ZIEL
t16
[EUR]</t>
    </r>
  </si>
  <si>
    <r>
      <rPr>
        <b/>
        <sz val="10"/>
        <color theme="1"/>
        <rFont val="Calibri"/>
        <family val="2"/>
      </rPr>
      <t xml:space="preserve">Werbungskosten
</t>
    </r>
    <r>
      <rPr>
        <sz val="10"/>
        <color theme="1"/>
        <rFont val="Calibri"/>
        <family val="2"/>
      </rPr>
      <t xml:space="preserve">
Jahr
---
---
[EUR]</t>
    </r>
  </si>
  <si>
    <r>
      <rPr>
        <b/>
        <sz val="10"/>
        <color theme="1"/>
        <rFont val="Calibri"/>
        <family val="2"/>
      </rPr>
      <t>AfA
Grundlage</t>
    </r>
    <r>
      <rPr>
        <sz val="10"/>
        <color theme="1"/>
        <rFont val="Calibri"/>
        <family val="2"/>
      </rPr>
      <t xml:space="preserve">
Jahr
---
Anschaffungskosten * (1 - Anteil Grundstück [%])
---
[EUR]</t>
    </r>
  </si>
  <si>
    <r>
      <rPr>
        <b/>
        <sz val="10"/>
        <color theme="1"/>
        <rFont val="Calibri"/>
        <family val="2"/>
      </rPr>
      <t>AfA
Betrag</t>
    </r>
    <r>
      <rPr>
        <sz val="10"/>
        <color theme="1"/>
        <rFont val="Calibri"/>
        <family val="2"/>
      </rPr>
      <t xml:space="preserve">
Jahr
---
AfA Grundlage * Satz [%]
---
[EUR]</t>
    </r>
  </si>
  <si>
    <r>
      <rPr>
        <b/>
        <sz val="10"/>
        <color theme="1"/>
        <rFont val="Calibri"/>
        <family val="2"/>
      </rPr>
      <t xml:space="preserve">zvst. Einkommen
</t>
    </r>
    <r>
      <rPr>
        <sz val="10"/>
        <color theme="1"/>
        <rFont val="Calibri"/>
        <family val="2"/>
      </rPr>
      <t>Jahr
---
zvst. Eink. ex Ante - steuerl. Aufw. - AfA
---
ledig
AKTUELL
exPost
STANDARD
[EUR]</t>
    </r>
  </si>
  <si>
    <r>
      <rPr>
        <b/>
        <sz val="10"/>
        <color theme="1"/>
        <rFont val="Calibri"/>
        <family val="2"/>
      </rPr>
      <t xml:space="preserve">ESt.
</t>
    </r>
    <r>
      <rPr>
        <sz val="10"/>
        <color theme="1"/>
        <rFont val="Calibri"/>
        <family val="2"/>
      </rPr>
      <t>Jahr
---
---
ledig
AKTUELL
exPost
STANDARD
[EUR]</t>
    </r>
  </si>
  <si>
    <r>
      <rPr>
        <b/>
        <sz val="10"/>
        <color theme="1"/>
        <rFont val="Calibri"/>
        <family val="2"/>
      </rPr>
      <t xml:space="preserve">ESt.
</t>
    </r>
    <r>
      <rPr>
        <sz val="10"/>
        <color theme="1"/>
        <rFont val="Calibri"/>
        <family val="2"/>
      </rPr>
      <t>Jahr
---
---
verheir.
AKTUELL
exPost
STANDARD
[EUR]</t>
    </r>
  </si>
  <si>
    <r>
      <rPr>
        <b/>
        <sz val="10"/>
        <color theme="1"/>
        <rFont val="Calibri"/>
        <family val="2"/>
      </rPr>
      <t xml:space="preserve">zvst. Einkommen
</t>
    </r>
    <r>
      <rPr>
        <sz val="10"/>
        <color theme="1"/>
        <rFont val="Calibri"/>
        <family val="2"/>
      </rPr>
      <t>Jahr
---
zvst. Eink. ex Ante - steuerl. Aufw. - AfA
---
ledig
AKTUELL
exPost
t11
[EUR]</t>
    </r>
  </si>
  <si>
    <r>
      <rPr>
        <b/>
        <sz val="10"/>
        <color theme="1"/>
        <rFont val="Calibri"/>
        <family val="2"/>
      </rPr>
      <t xml:space="preserve">ESt.
</t>
    </r>
    <r>
      <rPr>
        <sz val="10"/>
        <color theme="1"/>
        <rFont val="Calibri"/>
        <family val="2"/>
      </rPr>
      <t>Jahr
---
---
ledig
AKTUELL
exPost
t11
[EUR]</t>
    </r>
  </si>
  <si>
    <r>
      <rPr>
        <b/>
        <sz val="10"/>
        <color theme="1"/>
        <rFont val="Calibri"/>
        <family val="2"/>
      </rPr>
      <t xml:space="preserve">zvst. Einkommen
</t>
    </r>
    <r>
      <rPr>
        <sz val="10"/>
        <color theme="1"/>
        <rFont val="Calibri"/>
        <family val="2"/>
      </rPr>
      <t>Jahr
---
zvst. Eink. ex Ante - steuerl. Aufw. - AfA
---
ledig
AKTUELL
exPost
t16
[EUR]</t>
    </r>
  </si>
  <si>
    <r>
      <rPr>
        <b/>
        <sz val="10"/>
        <color theme="1"/>
        <rFont val="Calibri"/>
        <family val="2"/>
      </rPr>
      <t xml:space="preserve">ESt.
</t>
    </r>
    <r>
      <rPr>
        <sz val="10"/>
        <color theme="1"/>
        <rFont val="Calibri"/>
        <family val="2"/>
      </rPr>
      <t>Jahr
---
---
ledig
AKTUELL
exPost
t16
[EUR]</t>
    </r>
  </si>
  <si>
    <r>
      <rPr>
        <b/>
        <sz val="10"/>
        <color theme="1"/>
        <rFont val="Calibri"/>
        <family val="2"/>
      </rPr>
      <t xml:space="preserve">zvst. Einkommen
</t>
    </r>
    <r>
      <rPr>
        <sz val="10"/>
        <color theme="1"/>
        <rFont val="Calibri"/>
        <family val="2"/>
      </rPr>
      <t>Jahr
---
zvst. Eink. ex Ante - steuerl. Aufw. - AfA
---
ledig
ZIEL
exPost
STANDARD
[EUR]</t>
    </r>
  </si>
  <si>
    <r>
      <rPr>
        <b/>
        <sz val="10"/>
        <color theme="1"/>
        <rFont val="Calibri"/>
        <family val="2"/>
      </rPr>
      <t xml:space="preserve">ESt.
</t>
    </r>
    <r>
      <rPr>
        <sz val="10"/>
        <color theme="1"/>
        <rFont val="Calibri"/>
        <family val="2"/>
      </rPr>
      <t>Jahr
---
---
ledig
ZIEL
exPost
STANDARD
[EUR]</t>
    </r>
  </si>
  <si>
    <r>
      <rPr>
        <b/>
        <sz val="10"/>
        <color theme="1"/>
        <rFont val="Calibri"/>
        <family val="2"/>
      </rPr>
      <t xml:space="preserve">ESt.
</t>
    </r>
    <r>
      <rPr>
        <sz val="10"/>
        <color theme="1"/>
        <rFont val="Calibri"/>
        <family val="2"/>
      </rPr>
      <t>Jahr
---
---
verheir.
ZIEL
exPost
STANDARD
[EUR]</t>
    </r>
  </si>
  <si>
    <r>
      <rPr>
        <b/>
        <sz val="10"/>
        <color theme="1"/>
        <rFont val="Calibri"/>
        <family val="2"/>
      </rPr>
      <t xml:space="preserve">zvst. Einkommen
</t>
    </r>
    <r>
      <rPr>
        <sz val="10"/>
        <color theme="1"/>
        <rFont val="Calibri"/>
        <family val="2"/>
      </rPr>
      <t>Jahr
---
zvst. Eink. ex Ante - steuerl. Aufw. - AfA
---
ledig
ZIEL
exPost
t11
[EUR]</t>
    </r>
  </si>
  <si>
    <r>
      <rPr>
        <b/>
        <sz val="10"/>
        <color theme="1"/>
        <rFont val="Calibri"/>
        <family val="2"/>
      </rPr>
      <t xml:space="preserve">ESt.
</t>
    </r>
    <r>
      <rPr>
        <sz val="10"/>
        <color theme="1"/>
        <rFont val="Calibri"/>
        <family val="2"/>
      </rPr>
      <t>Jahr
---
---
ledig
ZIEL
exPost
t11
[EUR]</t>
    </r>
  </si>
  <si>
    <r>
      <rPr>
        <b/>
        <sz val="10"/>
        <color theme="1"/>
        <rFont val="Calibri"/>
        <family val="2"/>
      </rPr>
      <t xml:space="preserve">zvst. Einkommen
</t>
    </r>
    <r>
      <rPr>
        <sz val="10"/>
        <color theme="1"/>
        <rFont val="Calibri"/>
        <family val="2"/>
      </rPr>
      <t>Jahr
---
zvst. Eink. ex Ante - steuerl. Aufw. - AfA
---
ledig
ZIEL
exPost
t16
[EUR]</t>
    </r>
  </si>
  <si>
    <r>
      <rPr>
        <b/>
        <sz val="10"/>
        <color theme="1"/>
        <rFont val="Calibri"/>
        <family val="2"/>
      </rPr>
      <t xml:space="preserve">ESt.
</t>
    </r>
    <r>
      <rPr>
        <sz val="10"/>
        <color theme="1"/>
        <rFont val="Calibri"/>
        <family val="2"/>
      </rPr>
      <t>Jahr
---
---
ledig
ZIEL
exPost
t16
[EUR]</t>
    </r>
  </si>
  <si>
    <r>
      <rPr>
        <b/>
        <sz val="10"/>
        <color theme="1"/>
        <rFont val="Calibri"/>
        <family val="2"/>
      </rPr>
      <t xml:space="preserve">Steuerergebnis
</t>
    </r>
    <r>
      <rPr>
        <sz val="10"/>
        <color theme="1"/>
        <rFont val="Calibri"/>
        <family val="2"/>
      </rPr>
      <t>Jahr
---
ESt. exAnte - ESt. exPost
---
ledig
AKTUELL
STANDARD
[EUR]</t>
    </r>
  </si>
  <si>
    <r>
      <rPr>
        <b/>
        <sz val="10"/>
        <color theme="1"/>
        <rFont val="Calibri"/>
        <family val="2"/>
      </rPr>
      <t xml:space="preserve">Steuerergebnis
</t>
    </r>
    <r>
      <rPr>
        <sz val="10"/>
        <color theme="1"/>
        <rFont val="Calibri"/>
        <family val="2"/>
      </rPr>
      <t>Jahr
---
ESt. exAnte - ESt. exPost
---
verheir.
AKTUELL
STANDARD
[EUR]</t>
    </r>
  </si>
  <si>
    <r>
      <rPr>
        <b/>
        <sz val="10"/>
        <color theme="1"/>
        <rFont val="Calibri"/>
        <family val="2"/>
      </rPr>
      <t xml:space="preserve">Steuerergebnis
</t>
    </r>
    <r>
      <rPr>
        <sz val="10"/>
        <color theme="1"/>
        <rFont val="Calibri"/>
        <family val="2"/>
      </rPr>
      <t>Jahr
---
ESt. exAnte - ESt. exPost
---
verheir.
AKTUELL
t11
[EUR]</t>
    </r>
  </si>
  <si>
    <r>
      <rPr>
        <b/>
        <sz val="10"/>
        <color theme="1"/>
        <rFont val="Calibri"/>
        <family val="2"/>
      </rPr>
      <t xml:space="preserve">Steuerergebnis
</t>
    </r>
    <r>
      <rPr>
        <sz val="10"/>
        <color theme="1"/>
        <rFont val="Calibri"/>
        <family val="2"/>
      </rPr>
      <t>Jahr
---
ESt. exAnte - ESt. exPost
---
verheir.
AKTUELL
t16
[EUR]</t>
    </r>
  </si>
  <si>
    <r>
      <rPr>
        <b/>
        <sz val="10"/>
        <color theme="1"/>
        <rFont val="Calibri"/>
        <family val="2"/>
      </rPr>
      <t xml:space="preserve">Steuerergebnis
</t>
    </r>
    <r>
      <rPr>
        <sz val="10"/>
        <color theme="1"/>
        <rFont val="Calibri"/>
        <family val="2"/>
      </rPr>
      <t>Jahr
---
ESt. exAnte - ESt. exPost
---
ledig
ZIEL
STANDARD
[EUR]</t>
    </r>
  </si>
  <si>
    <r>
      <rPr>
        <b/>
        <sz val="10"/>
        <color theme="1"/>
        <rFont val="Calibri"/>
        <family val="2"/>
      </rPr>
      <t xml:space="preserve">Steuerergebnis
</t>
    </r>
    <r>
      <rPr>
        <sz val="10"/>
        <color theme="1"/>
        <rFont val="Calibri"/>
        <family val="2"/>
      </rPr>
      <t>Jahr
---
ESt. exAnte - ESt. exPost
---
verheir.
ZIEL
STANDARD
[EUR]</t>
    </r>
  </si>
  <si>
    <r>
      <rPr>
        <b/>
        <sz val="10"/>
        <color theme="1"/>
        <rFont val="Calibri"/>
        <family val="2"/>
      </rPr>
      <t xml:space="preserve">Steuerergebnis
</t>
    </r>
    <r>
      <rPr>
        <sz val="10"/>
        <color theme="1"/>
        <rFont val="Calibri"/>
        <family val="2"/>
      </rPr>
      <t>Jahr
---
ESt. exAnte - ESt. exPost
---
verheir.
ZIEL
t11
[EUR]</t>
    </r>
  </si>
  <si>
    <r>
      <rPr>
        <b/>
        <sz val="10"/>
        <color theme="1"/>
        <rFont val="Calibri"/>
        <family val="2"/>
      </rPr>
      <t xml:space="preserve">Steuerergebnis
</t>
    </r>
    <r>
      <rPr>
        <sz val="10"/>
        <color theme="1"/>
        <rFont val="Calibri"/>
        <family val="2"/>
      </rPr>
      <t>Jahr
---
ESt. exAnte - ESt. exPost
---
verheir.
ZIEL
t16
[EUR]</t>
    </r>
  </si>
  <si>
    <r>
      <rPr>
        <b/>
        <sz val="10"/>
        <color theme="1"/>
        <rFont val="Calibri"/>
        <family val="2"/>
      </rPr>
      <t xml:space="preserve">CF
</t>
    </r>
    <r>
      <rPr>
        <b/>
        <i/>
        <sz val="6"/>
        <color theme="1"/>
        <rFont val="Calibri"/>
        <family val="2"/>
      </rPr>
      <t>ohne Sparplan Beiträge</t>
    </r>
    <r>
      <rPr>
        <b/>
        <sz val="10"/>
        <color theme="1"/>
        <rFont val="Calibri"/>
        <family val="2"/>
      </rPr>
      <t xml:space="preserve">
</t>
    </r>
    <r>
      <rPr>
        <sz val="10"/>
        <color theme="1"/>
        <rFont val="Calibri"/>
        <family val="2"/>
      </rPr>
      <t>Jahr
---
Erwerbsnebenkosten + bestehender Rückkaufswert in t0
---
ledig
AKTUELL
STANDARD
[EUR]</t>
    </r>
  </si>
  <si>
    <r>
      <rPr>
        <b/>
        <sz val="10"/>
        <color theme="1"/>
        <rFont val="Calibri"/>
        <family val="2"/>
      </rPr>
      <t xml:space="preserve">CF
</t>
    </r>
    <r>
      <rPr>
        <b/>
        <i/>
        <sz val="6"/>
        <color theme="1"/>
        <rFont val="Calibri"/>
        <family val="2"/>
      </rPr>
      <t>ohne Sparplan Beiträge</t>
    </r>
    <r>
      <rPr>
        <b/>
        <sz val="10"/>
        <color theme="1"/>
        <rFont val="Calibri"/>
        <family val="2"/>
      </rPr>
      <t xml:space="preserve">
</t>
    </r>
    <r>
      <rPr>
        <sz val="10"/>
        <color theme="1"/>
        <rFont val="Calibri"/>
        <family val="2"/>
      </rPr>
      <t>Jahr
---
Erwerbsnebenkosten + bestehender Rückkaufswert in t0
---
verheir.
AKTUELL
STANDARD
[EUR]</t>
    </r>
  </si>
  <si>
    <r>
      <rPr>
        <b/>
        <sz val="10"/>
        <color theme="1"/>
        <rFont val="Calibri"/>
        <family val="2"/>
      </rPr>
      <t xml:space="preserve">CF
</t>
    </r>
    <r>
      <rPr>
        <b/>
        <i/>
        <sz val="6"/>
        <color theme="1"/>
        <rFont val="Calibri"/>
        <family val="2"/>
      </rPr>
      <t>ohne Sparplan Beiträge</t>
    </r>
    <r>
      <rPr>
        <b/>
        <sz val="10"/>
        <color theme="1"/>
        <rFont val="Calibri"/>
        <family val="2"/>
      </rPr>
      <t xml:space="preserve">
</t>
    </r>
    <r>
      <rPr>
        <sz val="10"/>
        <color theme="1"/>
        <rFont val="Calibri"/>
        <family val="2"/>
      </rPr>
      <t>Jahr
---
Erwerbsnebenkosten + bestehender Rückkaufswert in t0
---
ledig
AKTUELL
t11
[EUR]</t>
    </r>
  </si>
  <si>
    <r>
      <rPr>
        <b/>
        <sz val="10"/>
        <color theme="1"/>
        <rFont val="Calibri"/>
        <family val="2"/>
      </rPr>
      <t xml:space="preserve">CF
</t>
    </r>
    <r>
      <rPr>
        <b/>
        <i/>
        <sz val="6"/>
        <color theme="1"/>
        <rFont val="Calibri"/>
        <family val="2"/>
      </rPr>
      <t xml:space="preserve">ohne Sparplan Beiträge
</t>
    </r>
    <r>
      <rPr>
        <sz val="10"/>
        <color theme="1"/>
        <rFont val="Calibri"/>
        <family val="2"/>
      </rPr>
      <t>Jahr
---
Erwerbsnebenkosten + bestehender Rückkaufswert in t0
---
ledig
AKTUELL
t16
[EUR]</t>
    </r>
  </si>
  <si>
    <r>
      <rPr>
        <b/>
        <sz val="10"/>
        <color theme="1"/>
        <rFont val="Calibri"/>
        <family val="2"/>
      </rPr>
      <t xml:space="preserve">Eingesetztes Kapital
</t>
    </r>
    <r>
      <rPr>
        <sz val="10"/>
        <color theme="1"/>
        <rFont val="Calibri"/>
        <family val="2"/>
      </rPr>
      <t xml:space="preserve">Jahr
---
</t>
    </r>
    <r>
      <rPr>
        <sz val="9"/>
        <color theme="1"/>
        <rFont val="Calibri"/>
        <family val="2"/>
      </rPr>
      <t xml:space="preserve">
</t>
    </r>
    <r>
      <rPr>
        <sz val="10"/>
        <color theme="1"/>
        <rFont val="Calibri"/>
        <family val="2"/>
      </rPr>
      <t xml:space="preserve">
---
ledig
AKTUELL
STANDARD
[EUR]</t>
    </r>
  </si>
  <si>
    <r>
      <rPr>
        <b/>
        <sz val="10"/>
        <color theme="1"/>
        <rFont val="Calibri"/>
        <family val="2"/>
      </rPr>
      <t xml:space="preserve">Eingesetztes Kapital
</t>
    </r>
    <r>
      <rPr>
        <sz val="10"/>
        <color theme="1"/>
        <rFont val="Calibri"/>
        <family val="2"/>
      </rPr>
      <t xml:space="preserve">kumuliert
---
</t>
    </r>
    <r>
      <rPr>
        <sz val="9"/>
        <color theme="1"/>
        <rFont val="Calibri"/>
        <family val="2"/>
      </rPr>
      <t xml:space="preserve">Erwerbsnebenkosten + Sparplan Beiträge (alt/neu) + CF
</t>
    </r>
    <r>
      <rPr>
        <sz val="10"/>
        <color theme="1"/>
        <rFont val="Calibri"/>
        <family val="2"/>
      </rPr>
      <t>---
ledig
AKTUELL
STANDARD
[EUR]</t>
    </r>
  </si>
  <si>
    <r>
      <rPr>
        <b/>
        <sz val="10"/>
        <color theme="1"/>
        <rFont val="Calibri"/>
        <family val="2"/>
      </rPr>
      <t xml:space="preserve">Eingesetztes Kapital
</t>
    </r>
    <r>
      <rPr>
        <sz val="10"/>
        <color theme="1"/>
        <rFont val="Calibri"/>
        <family val="2"/>
      </rPr>
      <t xml:space="preserve">Jahr
---
</t>
    </r>
    <r>
      <rPr>
        <sz val="9"/>
        <color theme="1"/>
        <rFont val="Calibri"/>
        <family val="2"/>
      </rPr>
      <t xml:space="preserve">
</t>
    </r>
    <r>
      <rPr>
        <sz val="10"/>
        <color theme="1"/>
        <rFont val="Calibri"/>
        <family val="2"/>
      </rPr>
      <t xml:space="preserve">
---
verheir.
AKTUELL
STANDARD
[EUR]</t>
    </r>
  </si>
  <si>
    <r>
      <rPr>
        <b/>
        <sz val="10"/>
        <color theme="1"/>
        <rFont val="Calibri"/>
        <family val="2"/>
      </rPr>
      <t xml:space="preserve">Eingesetztes Kapital
</t>
    </r>
    <r>
      <rPr>
        <sz val="10"/>
        <color theme="1"/>
        <rFont val="Calibri"/>
        <family val="2"/>
      </rPr>
      <t xml:space="preserve">kumuliert
---
</t>
    </r>
    <r>
      <rPr>
        <sz val="9"/>
        <color theme="1"/>
        <rFont val="Calibri"/>
        <family val="2"/>
      </rPr>
      <t xml:space="preserve">Erwerbsnebenkosten + Sparplan Beiträge (alt/neu) + CF
</t>
    </r>
    <r>
      <rPr>
        <sz val="10"/>
        <color theme="1"/>
        <rFont val="Calibri"/>
        <family val="2"/>
      </rPr>
      <t>---
verheir.
AKTUELL
STANDARD
[EUR]</t>
    </r>
  </si>
  <si>
    <r>
      <rPr>
        <b/>
        <sz val="10"/>
        <color theme="1"/>
        <rFont val="Calibri"/>
        <family val="2"/>
      </rPr>
      <t xml:space="preserve">Eingesetztes Kapital
</t>
    </r>
    <r>
      <rPr>
        <sz val="10"/>
        <color theme="1"/>
        <rFont val="Calibri"/>
        <family val="2"/>
      </rPr>
      <t xml:space="preserve">Jahr
---
</t>
    </r>
    <r>
      <rPr>
        <sz val="9"/>
        <color theme="1"/>
        <rFont val="Calibri"/>
        <family val="2"/>
      </rPr>
      <t xml:space="preserve">
</t>
    </r>
    <r>
      <rPr>
        <sz val="10"/>
        <color theme="1"/>
        <rFont val="Calibri"/>
        <family val="2"/>
      </rPr>
      <t xml:space="preserve">
---
ledig
AKTUELL
t11
[EUR]</t>
    </r>
  </si>
  <si>
    <r>
      <rPr>
        <b/>
        <sz val="10"/>
        <color theme="1"/>
        <rFont val="Calibri"/>
        <family val="2"/>
      </rPr>
      <t xml:space="preserve">Eingesetztes Kapital
</t>
    </r>
    <r>
      <rPr>
        <sz val="10"/>
        <color theme="1"/>
        <rFont val="Calibri"/>
        <family val="2"/>
      </rPr>
      <t xml:space="preserve">kumuliert
---
</t>
    </r>
    <r>
      <rPr>
        <sz val="9"/>
        <color theme="1"/>
        <rFont val="Calibri"/>
        <family val="2"/>
      </rPr>
      <t xml:space="preserve">Erwerbsnebenkosten + Sparplan Beiträge (alt/neu) + CF
</t>
    </r>
    <r>
      <rPr>
        <sz val="10"/>
        <color theme="1"/>
        <rFont val="Calibri"/>
        <family val="2"/>
      </rPr>
      <t>---
ledig
AKTUELL
t11
[EUR]</t>
    </r>
  </si>
  <si>
    <r>
      <rPr>
        <b/>
        <sz val="10"/>
        <color theme="1"/>
        <rFont val="Calibri"/>
        <family val="2"/>
      </rPr>
      <t xml:space="preserve">Eingesetztes Kapital
</t>
    </r>
    <r>
      <rPr>
        <sz val="10"/>
        <color theme="1"/>
        <rFont val="Calibri"/>
        <family val="2"/>
      </rPr>
      <t xml:space="preserve">Jahr
---
</t>
    </r>
    <r>
      <rPr>
        <sz val="9"/>
        <color theme="1"/>
        <rFont val="Calibri"/>
        <family val="2"/>
      </rPr>
      <t xml:space="preserve">
</t>
    </r>
    <r>
      <rPr>
        <sz val="10"/>
        <color theme="1"/>
        <rFont val="Calibri"/>
        <family val="2"/>
      </rPr>
      <t xml:space="preserve">
---
ledig
AKTUELL
t16
[EUR]</t>
    </r>
  </si>
  <si>
    <r>
      <rPr>
        <b/>
        <sz val="10"/>
        <color theme="1"/>
        <rFont val="Calibri"/>
        <family val="2"/>
      </rPr>
      <t xml:space="preserve">Eingesetztes Kapital
</t>
    </r>
    <r>
      <rPr>
        <sz val="10"/>
        <color theme="1"/>
        <rFont val="Calibri"/>
        <family val="2"/>
      </rPr>
      <t xml:space="preserve">kumuliert
---
</t>
    </r>
    <r>
      <rPr>
        <sz val="9"/>
        <color theme="1"/>
        <rFont val="Calibri"/>
        <family val="2"/>
      </rPr>
      <t xml:space="preserve">Erwerbsnebenkosten + Sparplan Beiträge (alt/neu) + CF
</t>
    </r>
    <r>
      <rPr>
        <sz val="10"/>
        <color theme="1"/>
        <rFont val="Calibri"/>
        <family val="2"/>
      </rPr>
      <t>---
ledig
AKTUELL
t16
[EUR]</t>
    </r>
  </si>
  <si>
    <r>
      <rPr>
        <b/>
        <sz val="10"/>
        <color theme="1"/>
        <rFont val="Calibri"/>
        <family val="2"/>
      </rPr>
      <t xml:space="preserve">CF
</t>
    </r>
    <r>
      <rPr>
        <b/>
        <i/>
        <sz val="6"/>
        <color theme="1"/>
        <rFont val="Calibri"/>
        <family val="2"/>
      </rPr>
      <t>ohne Sparplan Beiträge</t>
    </r>
    <r>
      <rPr>
        <b/>
        <sz val="10"/>
        <color theme="1"/>
        <rFont val="Calibri"/>
        <family val="2"/>
      </rPr>
      <t xml:space="preserve">
</t>
    </r>
    <r>
      <rPr>
        <sz val="10"/>
        <color theme="1"/>
        <rFont val="Calibri"/>
        <family val="2"/>
      </rPr>
      <t>Jahr
---
Erwerbsnebenkosten + bestehender Rückkaufswert in t0
---
ledig
ZIEL
STANDARD
[EUR]</t>
    </r>
  </si>
  <si>
    <r>
      <rPr>
        <b/>
        <sz val="10"/>
        <color theme="1"/>
        <rFont val="Calibri"/>
        <family val="2"/>
      </rPr>
      <t xml:space="preserve">CF
</t>
    </r>
    <r>
      <rPr>
        <b/>
        <i/>
        <sz val="6"/>
        <color theme="1"/>
        <rFont val="Calibri"/>
        <family val="2"/>
      </rPr>
      <t>ohne Sparplan Beiträge</t>
    </r>
    <r>
      <rPr>
        <b/>
        <sz val="10"/>
        <color theme="1"/>
        <rFont val="Calibri"/>
        <family val="2"/>
      </rPr>
      <t xml:space="preserve">
</t>
    </r>
    <r>
      <rPr>
        <sz val="10"/>
        <color theme="1"/>
        <rFont val="Calibri"/>
        <family val="2"/>
      </rPr>
      <t>Jahr
---
Erwerbsnebenkosten + bestehender Rückkaufswert in t0
---
verheir.
ZIEL
STANDARD
[EUR]</t>
    </r>
  </si>
  <si>
    <r>
      <rPr>
        <b/>
        <sz val="10"/>
        <color theme="1"/>
        <rFont val="Calibri"/>
        <family val="2"/>
      </rPr>
      <t xml:space="preserve">CF
</t>
    </r>
    <r>
      <rPr>
        <b/>
        <i/>
        <sz val="6"/>
        <color theme="1"/>
        <rFont val="Calibri"/>
        <family val="2"/>
      </rPr>
      <t>ohne Sparplan Beiträge</t>
    </r>
    <r>
      <rPr>
        <b/>
        <sz val="10"/>
        <color theme="1"/>
        <rFont val="Calibri"/>
        <family val="2"/>
      </rPr>
      <t xml:space="preserve">
</t>
    </r>
    <r>
      <rPr>
        <sz val="10"/>
        <color theme="1"/>
        <rFont val="Calibri"/>
        <family val="2"/>
      </rPr>
      <t>Jahr
---
Erwerbsnebenkosten + bestehender Rückkaufswert in t0
---
ledig
ZIEL
t11
[EUR]</t>
    </r>
  </si>
  <si>
    <r>
      <rPr>
        <b/>
        <sz val="10"/>
        <color theme="1"/>
        <rFont val="Calibri"/>
        <family val="2"/>
      </rPr>
      <t xml:space="preserve">CF
</t>
    </r>
    <r>
      <rPr>
        <b/>
        <i/>
        <sz val="6"/>
        <color theme="1"/>
        <rFont val="Calibri"/>
        <family val="2"/>
      </rPr>
      <t>ohne Sparplan Beiträge</t>
    </r>
    <r>
      <rPr>
        <b/>
        <sz val="10"/>
        <color theme="1"/>
        <rFont val="Calibri"/>
        <family val="2"/>
      </rPr>
      <t xml:space="preserve">
</t>
    </r>
    <r>
      <rPr>
        <sz val="10"/>
        <color theme="1"/>
        <rFont val="Calibri"/>
        <family val="2"/>
      </rPr>
      <t>Jahr
---
Erwerbsnebenkosten + bestehender Rückkaufswert in t0
---
ledig
ZIEL
t16
[EUR]</t>
    </r>
  </si>
  <si>
    <r>
      <rPr>
        <b/>
        <sz val="10"/>
        <color theme="1"/>
        <rFont val="Calibri"/>
        <family val="2"/>
      </rPr>
      <t xml:space="preserve">Eingesetztes Kapital
</t>
    </r>
    <r>
      <rPr>
        <sz val="10"/>
        <color theme="1"/>
        <rFont val="Calibri"/>
        <family val="2"/>
      </rPr>
      <t xml:space="preserve">Jahr
---
</t>
    </r>
    <r>
      <rPr>
        <sz val="9"/>
        <color theme="1"/>
        <rFont val="Calibri"/>
        <family val="2"/>
      </rPr>
      <t xml:space="preserve">
</t>
    </r>
    <r>
      <rPr>
        <sz val="10"/>
        <color theme="1"/>
        <rFont val="Calibri"/>
        <family val="2"/>
      </rPr>
      <t xml:space="preserve">
---
ledig
ZIEL
STANDARD
[EUR]</t>
    </r>
  </si>
  <si>
    <r>
      <rPr>
        <b/>
        <sz val="10"/>
        <color theme="1"/>
        <rFont val="Calibri"/>
        <family val="2"/>
      </rPr>
      <t xml:space="preserve">Eingesetztes Kapital
</t>
    </r>
    <r>
      <rPr>
        <sz val="10"/>
        <color theme="1"/>
        <rFont val="Calibri"/>
        <family val="2"/>
      </rPr>
      <t xml:space="preserve">kumuliert
---
</t>
    </r>
    <r>
      <rPr>
        <sz val="9"/>
        <color theme="1"/>
        <rFont val="Calibri"/>
        <family val="2"/>
      </rPr>
      <t xml:space="preserve">Erwerbsnebenkosten + Sparplan Beiträge (alt/neu) + CF
</t>
    </r>
    <r>
      <rPr>
        <sz val="10"/>
        <color theme="1"/>
        <rFont val="Calibri"/>
        <family val="2"/>
      </rPr>
      <t>---
ledig
ZIEL
STANDARD
[EUR]</t>
    </r>
  </si>
  <si>
    <r>
      <rPr>
        <b/>
        <sz val="10"/>
        <color theme="1"/>
        <rFont val="Calibri"/>
        <family val="2"/>
      </rPr>
      <t xml:space="preserve">Eingesetztes Kapital
</t>
    </r>
    <r>
      <rPr>
        <sz val="10"/>
        <color theme="1"/>
        <rFont val="Calibri"/>
        <family val="2"/>
      </rPr>
      <t xml:space="preserve">Jahr
---
</t>
    </r>
    <r>
      <rPr>
        <sz val="9"/>
        <color theme="1"/>
        <rFont val="Calibri"/>
        <family val="2"/>
      </rPr>
      <t xml:space="preserve">
</t>
    </r>
    <r>
      <rPr>
        <sz val="10"/>
        <color theme="1"/>
        <rFont val="Calibri"/>
        <family val="2"/>
      </rPr>
      <t xml:space="preserve">
---
verheir.
ZIEL
STANDARD
[EUR]</t>
    </r>
  </si>
  <si>
    <r>
      <rPr>
        <b/>
        <sz val="10"/>
        <color theme="1"/>
        <rFont val="Calibri"/>
        <family val="2"/>
      </rPr>
      <t xml:space="preserve">Eingesetztes Kapital
</t>
    </r>
    <r>
      <rPr>
        <sz val="10"/>
        <color theme="1"/>
        <rFont val="Calibri"/>
        <family val="2"/>
      </rPr>
      <t xml:space="preserve">kumuliert
---
</t>
    </r>
    <r>
      <rPr>
        <sz val="9"/>
        <color theme="1"/>
        <rFont val="Calibri"/>
        <family val="2"/>
      </rPr>
      <t xml:space="preserve">Erwerbsnebenkosten + Sparplan Beiträge (alt/neu) + CF
</t>
    </r>
    <r>
      <rPr>
        <sz val="10"/>
        <color theme="1"/>
        <rFont val="Calibri"/>
        <family val="2"/>
      </rPr>
      <t>---
verheir.
ZIEL
STANDARD
[EUR]</t>
    </r>
  </si>
  <si>
    <r>
      <rPr>
        <b/>
        <sz val="10"/>
        <color theme="1"/>
        <rFont val="Calibri"/>
        <family val="2"/>
      </rPr>
      <t xml:space="preserve">Eingesetztes Kapital
</t>
    </r>
    <r>
      <rPr>
        <sz val="10"/>
        <color theme="1"/>
        <rFont val="Calibri"/>
        <family val="2"/>
      </rPr>
      <t xml:space="preserve">Jahr
---
</t>
    </r>
    <r>
      <rPr>
        <sz val="9"/>
        <color theme="1"/>
        <rFont val="Calibri"/>
        <family val="2"/>
      </rPr>
      <t xml:space="preserve">
</t>
    </r>
    <r>
      <rPr>
        <sz val="10"/>
        <color theme="1"/>
        <rFont val="Calibri"/>
        <family val="2"/>
      </rPr>
      <t xml:space="preserve">
---
ledig
ZIEL
t11
[EUR]</t>
    </r>
  </si>
  <si>
    <r>
      <rPr>
        <b/>
        <sz val="10"/>
        <color theme="1"/>
        <rFont val="Calibri"/>
        <family val="2"/>
      </rPr>
      <t xml:space="preserve">Eingesetztes Kapital
</t>
    </r>
    <r>
      <rPr>
        <sz val="10"/>
        <color theme="1"/>
        <rFont val="Calibri"/>
        <family val="2"/>
      </rPr>
      <t xml:space="preserve">kumuliert
---
</t>
    </r>
    <r>
      <rPr>
        <sz val="9"/>
        <color theme="1"/>
        <rFont val="Calibri"/>
        <family val="2"/>
      </rPr>
      <t xml:space="preserve">Erwerbsnebenkosten + Sparplan Beiträge (alt/neu) + CF
</t>
    </r>
    <r>
      <rPr>
        <sz val="10"/>
        <color theme="1"/>
        <rFont val="Calibri"/>
        <family val="2"/>
      </rPr>
      <t>---
ledig
ZIEL
t11
[EUR]</t>
    </r>
  </si>
  <si>
    <r>
      <rPr>
        <b/>
        <sz val="10"/>
        <color theme="1"/>
        <rFont val="Calibri"/>
        <family val="2"/>
      </rPr>
      <t xml:space="preserve">Eingesetztes Kapital
</t>
    </r>
    <r>
      <rPr>
        <sz val="10"/>
        <color theme="1"/>
        <rFont val="Calibri"/>
        <family val="2"/>
      </rPr>
      <t xml:space="preserve">Jahr
---
</t>
    </r>
    <r>
      <rPr>
        <sz val="9"/>
        <color theme="1"/>
        <rFont val="Calibri"/>
        <family val="2"/>
      </rPr>
      <t xml:space="preserve">
</t>
    </r>
    <r>
      <rPr>
        <sz val="10"/>
        <color theme="1"/>
        <rFont val="Calibri"/>
        <family val="2"/>
      </rPr>
      <t xml:space="preserve">
---
ledig
ZIEL
t16
[EUR]</t>
    </r>
  </si>
  <si>
    <r>
      <rPr>
        <b/>
        <sz val="10"/>
        <color theme="1"/>
        <rFont val="Calibri"/>
        <family val="2"/>
      </rPr>
      <t xml:space="preserve">Eingesetztes Kapital
</t>
    </r>
    <r>
      <rPr>
        <sz val="10"/>
        <color theme="1"/>
        <rFont val="Calibri"/>
        <family val="2"/>
      </rPr>
      <t xml:space="preserve">kumuliert
---
</t>
    </r>
    <r>
      <rPr>
        <sz val="9"/>
        <color theme="1"/>
        <rFont val="Calibri"/>
        <family val="2"/>
      </rPr>
      <t xml:space="preserve">Erwerbsnebenkosten + Sparplan Beiträge (alt/neu) + CF
</t>
    </r>
    <r>
      <rPr>
        <sz val="10"/>
        <color theme="1"/>
        <rFont val="Calibri"/>
        <family val="2"/>
      </rPr>
      <t>---
ledig
ZIEL
t16
[EUR]</t>
    </r>
  </si>
  <si>
    <t>IST-Kaltmiete</t>
  </si>
  <si>
    <r>
      <t xml:space="preserve">Cashflow </t>
    </r>
    <r>
      <rPr>
        <b/>
        <u/>
        <sz val="11"/>
        <color theme="1"/>
        <rFont val="Calibri"/>
        <family val="2"/>
      </rPr>
      <t>vor</t>
    </r>
    <r>
      <rPr>
        <b/>
        <sz val="11"/>
        <color theme="1"/>
        <rFont val="Calibri"/>
        <family val="2"/>
      </rPr>
      <t xml:space="preserve"> Tilgung (mtl.):</t>
    </r>
  </si>
  <si>
    <t>IST-Miteinnahmen (kalt)</t>
  </si>
  <si>
    <t>Kaltmiete je m²</t>
  </si>
  <si>
    <t>Hochrechnung Entwicklung Cashflows</t>
  </si>
  <si>
    <t>Disclaimer</t>
  </si>
  <si>
    <t>Hochrechnung Entwicklung Vermögen*</t>
  </si>
  <si>
    <t>*Werte auf Tausend gerundet</t>
  </si>
  <si>
    <r>
      <t xml:space="preserve">Cashflow </t>
    </r>
    <r>
      <rPr>
        <b/>
        <u/>
        <sz val="11"/>
        <color theme="0"/>
        <rFont val="Calibri"/>
        <family val="2"/>
      </rPr>
      <t>nach</t>
    </r>
    <r>
      <rPr>
        <b/>
        <sz val="11"/>
        <color theme="0"/>
        <rFont val="Calibri"/>
        <family val="2"/>
      </rPr>
      <t xml:space="preserve"> Steuer (mtl.):</t>
    </r>
  </si>
  <si>
    <t>WEG Verwaltung + Rücklage</t>
  </si>
  <si>
    <t>Miete mit 67</t>
  </si>
  <si>
    <t>Investment</t>
  </si>
  <si>
    <t>Wohnfläche in m²:</t>
  </si>
  <si>
    <t>Instandhaltung (privat)</t>
  </si>
  <si>
    <t>SE Verwaltung (privat)</t>
  </si>
  <si>
    <t>Summe Kosten (mtl.)</t>
  </si>
  <si>
    <t>Summe</t>
  </si>
  <si>
    <t>∑ CF = Invest</t>
  </si>
  <si>
    <t>Summe Eigenkapital:</t>
  </si>
  <si>
    <t>Anfängliches Investment:</t>
  </si>
  <si>
    <t>Eingabefelder</t>
  </si>
  <si>
    <r>
      <rPr>
        <sz val="10"/>
        <rFont val="Helvetica Neue"/>
        <scheme val="minor"/>
      </rPr>
      <t xml:space="preserve">mehr erfahren: </t>
    </r>
    <r>
      <rPr>
        <b/>
        <u/>
        <sz val="10"/>
        <rFont val="Helvetica Neue"/>
        <scheme val="minor"/>
      </rPr>
      <t>www.timvestment.de</t>
    </r>
  </si>
  <si>
    <t>Diese Berechnung zeigt einen beispielhaften Investitionsverlauf basierend auf Ihren Eingaben, für deren Richtigkeit keine Garantie oder Haftung übernommen wird. Die zugrunde liegenden Annahmen und Konditionen können nur eingeschränkt überprüft und zum Zeitpunkt der Berechnung nicht garantiert werden. Da Änderungen von Steuergesetzen, Zinskonditionen sowie persönliche Einkommens- und Vermögensverhältnisse die Ergebnisse beeinflussen können, handelt es sich um ein unverbindliches Rechenbeispiel. Eine Überprüfung durch einen Steuerberater wird dringend empfohlen.</t>
  </si>
  <si>
    <t>Zinssatz Darlehen</t>
  </si>
  <si>
    <t>https://www.youtube.com/watch?v=PmIKdnbddLk</t>
  </si>
  <si>
    <t>zum Rechenbeispiel auf YouTube</t>
  </si>
  <si>
    <r>
      <t xml:space="preserve">Bei Fragen oder Feedback </t>
    </r>
    <r>
      <rPr>
        <b/>
        <sz val="9"/>
        <rFont val="Aptos Narrow"/>
        <family val="2"/>
      </rPr>
      <t>→</t>
    </r>
    <r>
      <rPr>
        <b/>
        <sz val="9"/>
        <rFont val="Calibri"/>
        <family val="2"/>
      </rPr>
      <t xml:space="preserve"> LinkedIn oder Instagram</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</si>
</sst>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4" formatCode="_-* #,##0.00\ &quot;€&quot;_-;\-* #,##0.00\ &quot;€&quot;_-;_-* &quot;-&quot;??\ &quot;€&quot;_-;_-@_-"/>
    <numFmt numFmtId="164" formatCode="#,##0\ [$€-1]"/>
    <numFmt numFmtId="165" formatCode="_-* #,##0\ [$€-1]_-;\-* #,##0\ [$€-1]_-;_-* &quot;-&quot;??\ [$€-1]_-;_-@"/>
    <numFmt numFmtId="166" formatCode="dd\.mm\.yyyy"/>
    <numFmt numFmtId="167" formatCode="#,##0.00\ [$€-1]"/>
    <numFmt numFmtId="168" formatCode="\ #,##0\'\ \€"/>
    <numFmt numFmtId="169" formatCode="&quot; &quot;* #,##0.00&quot; € &quot;;&quot;-&quot;* #,##0.00&quot; € &quot;;&quot; &quot;* &quot;-&quot;??&quot; € &quot;"/>
    <numFmt numFmtId="170" formatCode="#,##0.00&quot;€&quot;"/>
    <numFmt numFmtId="171" formatCode="0.0%"/>
    <numFmt numFmtId="172" formatCode="_-* #,##0\ &quot;€&quot;_-;\-* #,##0\ &quot;€&quot;_-;_-* &quot;-&quot;??\ &quot;€&quot;_-;_-@_-"/>
    <numFmt numFmtId="173" formatCode="#,##0.00\ &quot;€&quot;"/>
    <numFmt numFmtId="174" formatCode="#,##0\ &quot;€&quot;"/>
    <numFmt numFmtId="175" formatCode="_-* #,##0.00\ [$€-407]_-;\-* #,##0.00\ [$€-407]_-;_-* &quot;-&quot;??\ [$€-407]_-;_-@_-"/>
  </numFmts>
  <fonts count="101">
    <font>
      <sz val="12"/>
      <color theme="1"/>
      <name val="Helvetica Neue"/>
      <scheme val="minor"/>
    </font>
    <font>
      <sz val="12"/>
      <color rgb="FFFFFFFF"/>
      <name val="Calibri"/>
    </font>
    <font>
      <sz val="12"/>
      <color rgb="FFFFFFFF"/>
      <name val="Calibri"/>
    </font>
    <font>
      <sz val="12"/>
      <color theme="1"/>
      <name val="Calibri"/>
    </font>
    <font>
      <sz val="11"/>
      <color theme="1"/>
      <name val="Calibri"/>
    </font>
    <font>
      <b/>
      <sz val="11"/>
      <color theme="1"/>
      <name val="Calibri"/>
    </font>
    <font>
      <b/>
      <sz val="11"/>
      <color rgb="FFFFFFFF"/>
      <name val="Calibri"/>
    </font>
    <font>
      <sz val="12"/>
      <color rgb="FF000000"/>
      <name val="Calibri"/>
    </font>
    <font>
      <sz val="12"/>
      <name val="Helvetica Neue"/>
    </font>
    <font>
      <sz val="8"/>
      <color rgb="FF000000"/>
      <name val="Calibri"/>
    </font>
    <font>
      <sz val="12"/>
      <color theme="1"/>
      <name val="Helvetica Neue"/>
    </font>
    <font>
      <sz val="11"/>
      <color rgb="FF000000"/>
      <name val="Calibri"/>
    </font>
    <font>
      <sz val="11"/>
      <color rgb="FF000000"/>
      <name val="Inconsolata"/>
    </font>
    <font>
      <b/>
      <sz val="12"/>
      <color rgb="FFFFFFFF"/>
      <name val="Calibri"/>
    </font>
    <font>
      <sz val="10"/>
      <color theme="1"/>
      <name val="Calibri"/>
    </font>
    <font>
      <b/>
      <sz val="11"/>
      <color rgb="FF000000"/>
      <name val="Calibri"/>
    </font>
    <font>
      <sz val="12"/>
      <color theme="1"/>
      <name val="Calibri"/>
    </font>
    <font>
      <b/>
      <sz val="10"/>
      <color rgb="FFFFFFFF"/>
      <name val="Calibri"/>
    </font>
    <font>
      <sz val="10"/>
      <color rgb="FF000000"/>
      <name val="Calibri"/>
    </font>
    <font>
      <b/>
      <sz val="12"/>
      <color rgb="FF000000"/>
      <name val="Calibri"/>
    </font>
    <font>
      <b/>
      <sz val="8"/>
      <color rgb="FFFFFFFF"/>
      <name val="Calibri"/>
    </font>
    <font>
      <b/>
      <sz val="11"/>
      <color rgb="FF3C4043"/>
      <name val="Roboto"/>
    </font>
    <font>
      <b/>
      <sz val="12"/>
      <color theme="1"/>
      <name val="Calibri"/>
    </font>
    <font>
      <b/>
      <sz val="12"/>
      <color theme="0"/>
      <name val="Calibri"/>
    </font>
    <font>
      <sz val="7"/>
      <color rgb="FF3B3C42"/>
      <name val="Calibri"/>
    </font>
    <font>
      <sz val="11"/>
      <color rgb="FFFFFFFF"/>
      <name val="Calibri"/>
    </font>
    <font>
      <b/>
      <sz val="12"/>
      <color theme="1"/>
      <name val="Helvetica Neue"/>
    </font>
    <font>
      <sz val="12"/>
      <color theme="1"/>
      <name val="Helvetica Neue"/>
    </font>
    <font>
      <b/>
      <sz val="12"/>
      <color theme="0"/>
      <name val="Calibri"/>
    </font>
    <font>
      <sz val="11"/>
      <color rgb="FF7E3794"/>
      <name val="Inconsolata"/>
    </font>
    <font>
      <i/>
      <sz val="10"/>
      <color theme="1"/>
      <name val="Calibri"/>
    </font>
    <font>
      <sz val="10"/>
      <color rgb="FF3B3C42"/>
      <name val="Calibri"/>
    </font>
    <font>
      <i/>
      <sz val="10"/>
      <color rgb="FF000000"/>
      <name val="Calibri"/>
    </font>
    <font>
      <b/>
      <sz val="10"/>
      <color rgb="FF000000"/>
      <name val="Calibri"/>
    </font>
    <font>
      <b/>
      <sz val="12"/>
      <color theme="1"/>
      <name val="Calibri"/>
    </font>
    <font>
      <b/>
      <sz val="12"/>
      <color rgb="FFFF0000"/>
      <name val="Calibri"/>
    </font>
    <font>
      <sz val="11"/>
      <color theme="0"/>
      <name val="Calibri"/>
    </font>
    <font>
      <sz val="12"/>
      <color theme="0"/>
      <name val="Calibri"/>
    </font>
    <font>
      <b/>
      <sz val="6"/>
      <color rgb="FF000000"/>
      <name val="Calibri"/>
    </font>
    <font>
      <sz val="12"/>
      <color theme="1"/>
      <name val="Helvetica Neue"/>
      <scheme val="minor"/>
    </font>
    <font>
      <b/>
      <sz val="11"/>
      <color theme="1"/>
      <name val="Calibri"/>
      <family val="2"/>
    </font>
    <font>
      <b/>
      <sz val="12"/>
      <color theme="1"/>
      <name val="Calibri"/>
      <family val="2"/>
    </font>
    <font>
      <b/>
      <sz val="10"/>
      <color theme="1"/>
      <name val="Calibri"/>
      <family val="2"/>
    </font>
    <font>
      <b/>
      <sz val="11"/>
      <color rgb="FF000000"/>
      <name val="Calibri"/>
      <family val="2"/>
    </font>
    <font>
      <sz val="11"/>
      <color rgb="FF000000"/>
      <name val="Calibri"/>
      <family val="2"/>
    </font>
    <font>
      <b/>
      <sz val="11"/>
      <color theme="0"/>
      <name val="Calibri"/>
      <family val="2"/>
    </font>
    <font>
      <sz val="12"/>
      <color theme="0"/>
      <name val="Calibri"/>
      <family val="2"/>
    </font>
    <font>
      <sz val="10"/>
      <color rgb="FFFFFFFF"/>
      <name val="Calibri"/>
      <family val="2"/>
    </font>
    <font>
      <sz val="10"/>
      <color rgb="FF000000"/>
      <name val="Calibri"/>
      <family val="2"/>
    </font>
    <font>
      <b/>
      <sz val="10"/>
      <color rgb="FF000000"/>
      <name val="Calibri"/>
      <family val="2"/>
    </font>
    <font>
      <b/>
      <sz val="11"/>
      <color rgb="FFFFFFFF"/>
      <name val="Calibri"/>
      <family val="2"/>
    </font>
    <font>
      <sz val="12"/>
      <color rgb="FF000000"/>
      <name val="Calibri"/>
      <family val="2"/>
    </font>
    <font>
      <b/>
      <sz val="12"/>
      <color rgb="FFFF0000"/>
      <name val="Calibri"/>
      <family val="2"/>
    </font>
    <font>
      <sz val="12"/>
      <color theme="1"/>
      <name val="Calibri"/>
      <family val="2"/>
    </font>
    <font>
      <sz val="12"/>
      <color rgb="FFFFFFFF"/>
      <name val="Calibri"/>
      <family val="2"/>
    </font>
    <font>
      <sz val="12"/>
      <name val="Calibri"/>
      <family val="2"/>
    </font>
    <font>
      <sz val="11"/>
      <color theme="1"/>
      <name val="Calibri"/>
      <family val="2"/>
    </font>
    <font>
      <b/>
      <sz val="11"/>
      <color rgb="FFFF0000"/>
      <name val="Calibri"/>
      <family val="2"/>
    </font>
    <font>
      <b/>
      <sz val="11"/>
      <color rgb="FF3C4043"/>
      <name val="Calibri"/>
      <family val="2"/>
    </font>
    <font>
      <i/>
      <sz val="11"/>
      <color theme="1"/>
      <name val="Calibri"/>
      <family val="2"/>
    </font>
    <font>
      <sz val="11"/>
      <color theme="0"/>
      <name val="Calibri"/>
      <family val="2"/>
    </font>
    <font>
      <sz val="11"/>
      <color rgb="FF3B3C42"/>
      <name val="Calibri"/>
      <family val="2"/>
    </font>
    <font>
      <sz val="11"/>
      <color rgb="FFFFFFFF"/>
      <name val="Calibri"/>
      <family val="2"/>
    </font>
    <font>
      <sz val="11"/>
      <color rgb="FF7E3794"/>
      <name val="Calibri"/>
      <family val="2"/>
    </font>
    <font>
      <b/>
      <sz val="11"/>
      <color rgb="FF3B3C42"/>
      <name val="Calibri"/>
      <family val="2"/>
    </font>
    <font>
      <i/>
      <sz val="11"/>
      <color rgb="FF000000"/>
      <name val="Calibri"/>
      <family val="2"/>
    </font>
    <font>
      <sz val="8"/>
      <color rgb="FF000000"/>
      <name val="Calibri"/>
      <family val="2"/>
    </font>
    <font>
      <b/>
      <sz val="11"/>
      <color rgb="FF00B050"/>
      <name val="Calibri"/>
      <family val="2"/>
    </font>
    <font>
      <sz val="11"/>
      <color rgb="FFFF0000"/>
      <name val="Calibri"/>
      <family val="2"/>
    </font>
    <font>
      <sz val="11"/>
      <color rgb="FF00B050"/>
      <name val="Calibri"/>
      <family val="2"/>
    </font>
    <font>
      <b/>
      <i/>
      <sz val="11"/>
      <color theme="1"/>
      <name val="Calibri"/>
      <family val="2"/>
    </font>
    <font>
      <i/>
      <sz val="9"/>
      <color theme="1"/>
      <name val="Calibri"/>
      <family val="2"/>
    </font>
    <font>
      <b/>
      <i/>
      <sz val="11"/>
      <color theme="0"/>
      <name val="Calibri"/>
      <family val="2"/>
    </font>
    <font>
      <sz val="10"/>
      <color rgb="FF666666"/>
      <name val="Calibri"/>
      <family val="2"/>
    </font>
    <font>
      <sz val="10"/>
      <color theme="1"/>
      <name val="Calibri"/>
      <family val="2"/>
    </font>
    <font>
      <sz val="8"/>
      <color rgb="FFFF0000"/>
      <name val="Calibri"/>
      <family val="2"/>
    </font>
    <font>
      <b/>
      <i/>
      <sz val="6"/>
      <color theme="1"/>
      <name val="Calibri"/>
      <family val="2"/>
    </font>
    <font>
      <sz val="9"/>
      <color theme="1"/>
      <name val="Calibri"/>
      <family val="2"/>
    </font>
    <font>
      <b/>
      <sz val="11"/>
      <color rgb="FF1155CC"/>
      <name val="Calibri"/>
      <family val="2"/>
    </font>
    <font>
      <b/>
      <sz val="10"/>
      <color rgb="FF999999"/>
      <name val="Calibri"/>
      <family val="2"/>
    </font>
    <font>
      <sz val="10"/>
      <color rgb="FFD9D9D9"/>
      <name val="Calibri"/>
      <family val="2"/>
    </font>
    <font>
      <b/>
      <sz val="10"/>
      <color rgb="FFD9D9D9"/>
      <name val="Calibri"/>
      <family val="2"/>
    </font>
    <font>
      <sz val="8"/>
      <color theme="1"/>
      <name val="Calibri"/>
      <family val="2"/>
    </font>
    <font>
      <u/>
      <sz val="12"/>
      <color rgb="FF0000FF"/>
      <name val="Calibri"/>
      <family val="2"/>
    </font>
    <font>
      <u/>
      <sz val="12"/>
      <color rgb="FF000000"/>
      <name val="Calibri"/>
      <family val="2"/>
    </font>
    <font>
      <b/>
      <u/>
      <sz val="11"/>
      <color theme="0"/>
      <name val="Calibri"/>
      <family val="2"/>
    </font>
    <font>
      <b/>
      <u/>
      <sz val="11"/>
      <color theme="1"/>
      <name val="Calibri"/>
      <family val="2"/>
    </font>
    <font>
      <i/>
      <sz val="9"/>
      <color theme="2" tint="-0.34998626667073579"/>
      <name val="Calibri"/>
      <family val="2"/>
    </font>
    <font>
      <i/>
      <sz val="8"/>
      <color theme="2" tint="-0.34998626667073579"/>
      <name val="Calibri"/>
      <family val="2"/>
    </font>
    <font>
      <b/>
      <sz val="11"/>
      <color theme="2"/>
      <name val="Calibri"/>
      <family val="2"/>
    </font>
    <font>
      <b/>
      <i/>
      <sz val="11"/>
      <color rgb="FFFF0000"/>
      <name val="Calibri"/>
      <family val="2"/>
    </font>
    <font>
      <i/>
      <sz val="9"/>
      <color rgb="FFFF0000"/>
      <name val="Calibri"/>
      <family val="2"/>
    </font>
    <font>
      <u/>
      <sz val="12"/>
      <color theme="10"/>
      <name val="Helvetica Neue"/>
      <scheme val="minor"/>
    </font>
    <font>
      <b/>
      <u/>
      <sz val="10"/>
      <name val="Helvetica Neue"/>
      <scheme val="minor"/>
    </font>
    <font>
      <b/>
      <sz val="11"/>
      <name val="Calibri"/>
      <family val="2"/>
    </font>
    <font>
      <b/>
      <sz val="9"/>
      <color rgb="FFFF0000"/>
      <name val="Calibri"/>
      <family val="2"/>
    </font>
    <font>
      <sz val="10"/>
      <name val="Helvetica Neue"/>
      <scheme val="minor"/>
    </font>
    <font>
      <u/>
      <sz val="10"/>
      <color theme="10"/>
      <name val="Helvetica Neue"/>
      <scheme val="minor"/>
    </font>
    <font>
      <b/>
      <sz val="8"/>
      <name val="Helvetica Neue"/>
      <scheme val="minor"/>
    </font>
    <font>
      <b/>
      <sz val="9"/>
      <name val="Aptos Narrow"/>
      <family val="2"/>
    </font>
    <font>
      <b/>
      <sz val="9"/>
      <name val="Calibri"/>
      <family val="2"/>
    </font>
  </fonts>
  <fills count="39">
    <fill>
      <patternFill patternType="none"/>
    </fill>
    <fill>
      <patternFill patternType="gray125"/>
    </fill>
    <fill>
      <patternFill patternType="solid">
        <fgColor rgb="FF000000"/>
        <bgColor rgb="FF000000"/>
      </patternFill>
    </fill>
    <fill>
      <patternFill patternType="solid">
        <fgColor theme="1"/>
        <bgColor theme="1"/>
      </patternFill>
    </fill>
    <fill>
      <patternFill patternType="solid">
        <fgColor theme="0"/>
        <bgColor theme="0"/>
      </patternFill>
    </fill>
    <fill>
      <patternFill patternType="solid">
        <fgColor rgb="FF3B3C42"/>
        <bgColor rgb="FF3B3C42"/>
      </patternFill>
    </fill>
    <fill>
      <patternFill patternType="solid">
        <fgColor rgb="FFFFFFFF"/>
        <bgColor rgb="FFFFFFFF"/>
      </patternFill>
    </fill>
    <fill>
      <patternFill patternType="solid">
        <fgColor rgb="FFEFE1B3"/>
        <bgColor rgb="FFEFE1B3"/>
      </patternFill>
    </fill>
    <fill>
      <patternFill patternType="solid">
        <fgColor rgb="FFCB9A02"/>
        <bgColor rgb="FFCB9A02"/>
      </patternFill>
    </fill>
    <fill>
      <patternFill patternType="solid">
        <fgColor rgb="FF434343"/>
        <bgColor rgb="FF434343"/>
      </patternFill>
    </fill>
    <fill>
      <patternFill patternType="solid">
        <fgColor rgb="FFEEEEEE"/>
        <bgColor rgb="FFEEEEEE"/>
      </patternFill>
    </fill>
    <fill>
      <patternFill patternType="solid">
        <fgColor rgb="FFFCE5CD"/>
        <bgColor rgb="FFFCE5CD"/>
      </patternFill>
    </fill>
    <fill>
      <patternFill patternType="solid">
        <fgColor rgb="FFFFFF00"/>
        <bgColor rgb="FFFFFF00"/>
      </patternFill>
    </fill>
    <fill>
      <patternFill patternType="solid">
        <fgColor rgb="FFD9EAD3"/>
        <bgColor rgb="FFD9EAD3"/>
      </patternFill>
    </fill>
    <fill>
      <patternFill patternType="solid">
        <fgColor rgb="FFF4CCCC"/>
        <bgColor rgb="FFF4CCCC"/>
      </patternFill>
    </fill>
    <fill>
      <patternFill patternType="solid">
        <fgColor rgb="FFC9DAF8"/>
        <bgColor rgb="FFC9DAF8"/>
      </patternFill>
    </fill>
    <fill>
      <patternFill patternType="solid">
        <fgColor rgb="FFFFF2CC"/>
        <bgColor rgb="FFFFF2CC"/>
      </patternFill>
    </fill>
    <fill>
      <patternFill patternType="solid">
        <fgColor rgb="FFD9D9D9"/>
        <bgColor rgb="FFD9D9D9"/>
      </patternFill>
    </fill>
    <fill>
      <patternFill patternType="solid">
        <fgColor rgb="FFEFEFEF"/>
        <bgColor rgb="FFEFEFEF"/>
      </patternFill>
    </fill>
    <fill>
      <patternFill patternType="solid">
        <fgColor rgb="FF002060"/>
        <bgColor rgb="FF3B3C42"/>
      </patternFill>
    </fill>
    <fill>
      <patternFill patternType="solid">
        <fgColor theme="9" tint="0.59999389629810485"/>
        <bgColor rgb="FF3B3C42"/>
      </patternFill>
    </fill>
    <fill>
      <patternFill patternType="solid">
        <fgColor theme="4" tint="0.79998168889431442"/>
        <bgColor rgb="FFEFE1B3"/>
      </patternFill>
    </fill>
    <fill>
      <patternFill patternType="solid">
        <fgColor rgb="FFFFFFCC"/>
        <bgColor indexed="64"/>
      </patternFill>
    </fill>
    <fill>
      <patternFill patternType="solid">
        <fgColor rgb="FFFFFFCC"/>
        <bgColor rgb="FFCB9A02"/>
      </patternFill>
    </fill>
    <fill>
      <patternFill patternType="solid">
        <fgColor theme="4" tint="0.79998168889431442"/>
        <bgColor rgb="FFCB9A02"/>
      </patternFill>
    </fill>
    <fill>
      <patternFill patternType="solid">
        <fgColor theme="4" tint="0.79998168889431442"/>
        <bgColor rgb="FF3B3C42"/>
      </patternFill>
    </fill>
    <fill>
      <patternFill patternType="solid">
        <fgColor rgb="FFFFFFCC"/>
        <bgColor theme="0"/>
      </patternFill>
    </fill>
    <fill>
      <patternFill patternType="solid">
        <fgColor theme="4" tint="0.79998168889431442"/>
        <bgColor indexed="64"/>
      </patternFill>
    </fill>
    <fill>
      <patternFill patternType="solid">
        <fgColor rgb="FFFFFFCC"/>
        <bgColor rgb="FFFFFFFF"/>
      </patternFill>
    </fill>
    <fill>
      <patternFill patternType="solid">
        <fgColor theme="4" tint="0.39997558519241921"/>
        <bgColor rgb="FF3B3C42"/>
      </patternFill>
    </fill>
    <fill>
      <patternFill patternType="solid">
        <fgColor theme="2" tint="-4.9989318521683403E-2"/>
        <bgColor indexed="64"/>
      </patternFill>
    </fill>
    <fill>
      <patternFill patternType="solid">
        <fgColor theme="2" tint="-0.249977111117893"/>
        <bgColor indexed="64"/>
      </patternFill>
    </fill>
    <fill>
      <patternFill patternType="solid">
        <fgColor theme="0" tint="-0.499984740745262"/>
        <bgColor rgb="FF434343"/>
      </patternFill>
    </fill>
    <fill>
      <patternFill patternType="solid">
        <fgColor theme="0" tint="-0.499984740745262"/>
        <bgColor indexed="64"/>
      </patternFill>
    </fill>
    <fill>
      <patternFill patternType="solid">
        <fgColor theme="4"/>
        <bgColor indexed="64"/>
      </patternFill>
    </fill>
    <fill>
      <patternFill patternType="solid">
        <fgColor theme="4" tint="-0.249977111117893"/>
        <bgColor indexed="64"/>
      </patternFill>
    </fill>
    <fill>
      <patternFill patternType="solid">
        <fgColor theme="2" tint="-4.9989318521683403E-2"/>
        <bgColor rgb="FF3B3C42"/>
      </patternFill>
    </fill>
    <fill>
      <patternFill patternType="solid">
        <fgColor theme="4"/>
        <bgColor rgb="FFEFE1B3"/>
      </patternFill>
    </fill>
    <fill>
      <patternFill patternType="solid">
        <fgColor rgb="FFFFFFCC"/>
        <bgColor rgb="FFEFE1B3"/>
      </patternFill>
    </fill>
  </fills>
  <borders count="73">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3B3C42"/>
      </left>
      <right/>
      <top style="thin">
        <color rgb="FF3B3C42"/>
      </top>
      <bottom/>
      <diagonal/>
    </border>
    <border>
      <left/>
      <right style="thin">
        <color rgb="FF3B3C42"/>
      </right>
      <top style="thin">
        <color rgb="FF3B3C42"/>
      </top>
      <bottom/>
      <diagonal/>
    </border>
    <border>
      <left style="thin">
        <color rgb="FF3B3C42"/>
      </left>
      <right/>
      <top/>
      <bottom/>
      <diagonal/>
    </border>
    <border>
      <left/>
      <right style="thin">
        <color rgb="FF3B3C42"/>
      </right>
      <top/>
      <bottom/>
      <diagonal/>
    </border>
    <border>
      <left style="thin">
        <color rgb="FF3B3C42"/>
      </left>
      <right/>
      <top/>
      <bottom style="thin">
        <color rgb="FF3B3C42"/>
      </bottom>
      <diagonal/>
    </border>
    <border>
      <left/>
      <right style="thin">
        <color rgb="FF3B3C42"/>
      </right>
      <top/>
      <bottom style="thin">
        <color rgb="FF3B3C42"/>
      </bottom>
      <diagonal/>
    </border>
    <border>
      <left/>
      <right/>
      <top style="thin">
        <color rgb="FF3B3C42"/>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top/>
      <bottom style="thin">
        <color rgb="FF3B3C42"/>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3B3C42"/>
      </left>
      <right/>
      <top style="thin">
        <color rgb="FF3B3C42"/>
      </top>
      <bottom style="thin">
        <color rgb="FF3B3C42"/>
      </bottom>
      <diagonal/>
    </border>
    <border>
      <left/>
      <right/>
      <top style="thin">
        <color rgb="FF3B3C42"/>
      </top>
      <bottom style="thin">
        <color rgb="FF3B3C42"/>
      </bottom>
      <diagonal/>
    </border>
    <border>
      <left/>
      <right style="thin">
        <color rgb="FF3B3C42"/>
      </right>
      <top style="thin">
        <color rgb="FF3B3C42"/>
      </top>
      <bottom style="thin">
        <color rgb="FF3B3C42"/>
      </bottom>
      <diagonal/>
    </border>
    <border>
      <left style="thin">
        <color rgb="FF3B3C42"/>
      </left>
      <right/>
      <top style="thin">
        <color rgb="FF3B3C42"/>
      </top>
      <bottom style="thin">
        <color rgb="FF000000"/>
      </bottom>
      <diagonal/>
    </border>
    <border>
      <left/>
      <right style="thin">
        <color rgb="FF3B3C42"/>
      </right>
      <top style="thin">
        <color rgb="FF3B3C42"/>
      </top>
      <bottom style="thin">
        <color rgb="FF000000"/>
      </bottom>
      <diagonal/>
    </border>
    <border>
      <left style="thin">
        <color rgb="FF3B3C42"/>
      </left>
      <right style="thin">
        <color rgb="FF3B3C42"/>
      </right>
      <top style="thin">
        <color rgb="FF3B3C42"/>
      </top>
      <bottom style="thin">
        <color rgb="FF3B3C42"/>
      </bottom>
      <diagonal/>
    </border>
    <border>
      <left style="thin">
        <color rgb="FF3B3C42"/>
      </left>
      <right/>
      <top style="thin">
        <color rgb="FF000000"/>
      </top>
      <bottom style="thin">
        <color rgb="FF000000"/>
      </bottom>
      <diagonal/>
    </border>
    <border>
      <left/>
      <right style="thin">
        <color rgb="FF3B3C42"/>
      </right>
      <top style="thin">
        <color rgb="FF000000"/>
      </top>
      <bottom style="thin">
        <color rgb="FF000000"/>
      </bottom>
      <diagonal/>
    </border>
    <border>
      <left/>
      <right style="thin">
        <color rgb="FF000000"/>
      </right>
      <top/>
      <bottom/>
      <diagonal/>
    </border>
    <border>
      <left style="thin">
        <color rgb="FFAAAAAA"/>
      </left>
      <right style="thin">
        <color rgb="FFAAAAAA"/>
      </right>
      <top style="thin">
        <color rgb="FFAAAAAA"/>
      </top>
      <bottom style="thin">
        <color rgb="FFAAAAAA"/>
      </bottom>
      <diagonal/>
    </border>
    <border>
      <left style="thin">
        <color rgb="FFAAAAAA"/>
      </left>
      <right/>
      <top style="thin">
        <color rgb="FFAAAAAA"/>
      </top>
      <bottom style="thin">
        <color rgb="FFAAAAAA"/>
      </bottom>
      <diagonal/>
    </border>
    <border>
      <left style="thin">
        <color rgb="FFAAAAAA"/>
      </left>
      <right style="thin">
        <color rgb="FF000000"/>
      </right>
      <top style="thin">
        <color rgb="FFAAAAAA"/>
      </top>
      <bottom style="thin">
        <color rgb="FFAAAAAA"/>
      </bottom>
      <diagonal/>
    </border>
    <border>
      <left/>
      <right style="thin">
        <color rgb="FFFFFFFF"/>
      </right>
      <top/>
      <bottom/>
      <diagonal/>
    </border>
    <border>
      <left style="thin">
        <color rgb="FFFFFFFF"/>
      </left>
      <right/>
      <top/>
      <bottom/>
      <diagonal/>
    </border>
    <border>
      <left style="thin">
        <color rgb="FF000000"/>
      </left>
      <right/>
      <top/>
      <bottom/>
      <diagonal/>
    </border>
    <border>
      <left/>
      <right/>
      <top/>
      <bottom style="thin">
        <color rgb="FFAAAAAA"/>
      </bottom>
      <diagonal/>
    </border>
    <border>
      <left style="thin">
        <color rgb="FFAAAAAA"/>
      </left>
      <right style="thin">
        <color rgb="FFAAAAAA"/>
      </right>
      <top/>
      <bottom style="thin">
        <color rgb="FFAAAAAA"/>
      </bottom>
      <diagonal/>
    </border>
    <border>
      <left/>
      <right style="thin">
        <color rgb="FFAAAAAA"/>
      </right>
      <top/>
      <bottom style="thin">
        <color rgb="FFAAAAAA"/>
      </bottom>
      <diagonal/>
    </border>
    <border>
      <left/>
      <right style="thin">
        <color rgb="FFAAAAAA"/>
      </right>
      <top/>
      <bottom/>
      <diagonal/>
    </border>
    <border>
      <left style="thin">
        <color rgb="FFAAAAAA"/>
      </left>
      <right/>
      <top/>
      <bottom style="thin">
        <color rgb="FFAAAAAA"/>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rgb="FF000000"/>
      </top>
      <bottom style="thin">
        <color rgb="FF000000"/>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bottom style="thin">
        <color rgb="FF3B3C42"/>
      </bottom>
      <diagonal/>
    </border>
    <border>
      <left style="thin">
        <color rgb="FF3B3C42"/>
      </left>
      <right/>
      <top/>
      <bottom style="thin">
        <color indexed="64"/>
      </bottom>
      <diagonal/>
    </border>
    <border>
      <left style="thin">
        <color indexed="64"/>
      </left>
      <right/>
      <top style="thin">
        <color indexed="64"/>
      </top>
      <bottom style="thin">
        <color rgb="FF000000"/>
      </bottom>
      <diagonal/>
    </border>
    <border>
      <left/>
      <right style="thin">
        <color indexed="64"/>
      </right>
      <top style="thin">
        <color indexed="64"/>
      </top>
      <bottom style="thin">
        <color rgb="FF000000"/>
      </bottom>
      <diagonal/>
    </border>
    <border>
      <left style="thin">
        <color indexed="64"/>
      </left>
      <right/>
      <top style="thin">
        <color rgb="FF000000"/>
      </top>
      <bottom style="thin">
        <color rgb="FF000000"/>
      </bottom>
      <diagonal/>
    </border>
    <border>
      <left style="thin">
        <color indexed="64"/>
      </left>
      <right/>
      <top style="thin">
        <color rgb="FF000000"/>
      </top>
      <bottom style="thin">
        <color indexed="64"/>
      </bottom>
      <diagonal/>
    </border>
    <border>
      <left/>
      <right style="thin">
        <color indexed="64"/>
      </right>
      <top style="thin">
        <color rgb="FF000000"/>
      </top>
      <bottom style="thin">
        <color indexed="64"/>
      </bottom>
      <diagonal/>
    </border>
    <border>
      <left/>
      <right style="thin">
        <color rgb="FF3B3C42"/>
      </right>
      <top/>
      <bottom style="thin">
        <color indexed="64"/>
      </bottom>
      <diagonal/>
    </border>
    <border>
      <left/>
      <right style="thin">
        <color indexed="64"/>
      </right>
      <top style="thin">
        <color rgb="FF3B3C42"/>
      </top>
      <bottom/>
      <diagonal/>
    </border>
    <border>
      <left style="thin">
        <color indexed="64"/>
      </left>
      <right style="thin">
        <color indexed="64"/>
      </right>
      <top/>
      <bottom/>
      <diagonal/>
    </border>
    <border>
      <left/>
      <right/>
      <top/>
      <bottom style="thin">
        <color indexed="64"/>
      </bottom>
      <diagonal/>
    </border>
    <border>
      <left style="thin">
        <color rgb="FF3B3C42"/>
      </left>
      <right/>
      <top style="thin">
        <color rgb="FF000000"/>
      </top>
      <bottom style="thin">
        <color indexed="64"/>
      </bottom>
      <diagonal/>
    </border>
    <border>
      <left/>
      <right/>
      <top style="thin">
        <color rgb="FF000000"/>
      </top>
      <bottom style="thin">
        <color indexed="64"/>
      </bottom>
      <diagonal/>
    </border>
    <border>
      <left/>
      <right style="thin">
        <color indexed="64"/>
      </right>
      <top style="thin">
        <color rgb="FF3B3C42"/>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3">
    <xf numFmtId="0" fontId="0" fillId="0" borderId="0"/>
    <xf numFmtId="9" fontId="39" fillId="0" borderId="0" applyFont="0" applyFill="0" applyBorder="0" applyAlignment="0" applyProtection="0"/>
    <xf numFmtId="0" fontId="92" fillId="0" borderId="0" applyNumberFormat="0" applyFill="0" applyBorder="0" applyAlignment="0" applyProtection="0"/>
  </cellStyleXfs>
  <cellXfs count="449">
    <xf numFmtId="0" fontId="0" fillId="0" borderId="0" xfId="0"/>
    <xf numFmtId="0" fontId="1" fillId="2" borderId="0" xfId="0" applyFont="1" applyFill="1"/>
    <xf numFmtId="0" fontId="2" fillId="3" borderId="0" xfId="0" applyFont="1" applyFill="1"/>
    <xf numFmtId="0" fontId="5" fillId="0" borderId="0" xfId="0" applyFont="1" applyAlignment="1">
      <alignment horizontal="center" vertical="center"/>
    </xf>
    <xf numFmtId="164" fontId="3" fillId="0" borderId="0" xfId="0" applyNumberFormat="1" applyFont="1" applyAlignment="1">
      <alignment vertical="center"/>
    </xf>
    <xf numFmtId="164" fontId="6" fillId="5" borderId="1" xfId="0" applyNumberFormat="1" applyFont="1" applyFill="1" applyBorder="1" applyAlignment="1">
      <alignment horizontal="right" vertical="center"/>
    </xf>
    <xf numFmtId="164" fontId="6" fillId="5" borderId="4" xfId="0" applyNumberFormat="1" applyFont="1" applyFill="1" applyBorder="1" applyAlignment="1">
      <alignment horizontal="center" vertical="center"/>
    </xf>
    <xf numFmtId="164" fontId="9" fillId="6" borderId="0" xfId="0" applyNumberFormat="1" applyFont="1" applyFill="1"/>
    <xf numFmtId="164" fontId="9" fillId="4" borderId="0" xfId="0" applyNumberFormat="1" applyFont="1" applyFill="1" applyAlignment="1">
      <alignment vertical="center"/>
    </xf>
    <xf numFmtId="164" fontId="6" fillId="5" borderId="5" xfId="0" applyNumberFormat="1" applyFont="1" applyFill="1" applyBorder="1" applyAlignment="1">
      <alignment horizontal="center" vertical="center"/>
    </xf>
    <xf numFmtId="0" fontId="10" fillId="0" borderId="0" xfId="0" applyFont="1" applyAlignment="1">
      <alignment vertical="center"/>
    </xf>
    <xf numFmtId="164" fontId="11" fillId="0" borderId="3" xfId="0" applyNumberFormat="1" applyFont="1" applyBorder="1" applyAlignment="1">
      <alignment horizontal="center" vertical="center"/>
    </xf>
    <xf numFmtId="4" fontId="11" fillId="0" borderId="2" xfId="0" applyNumberFormat="1" applyFont="1" applyBorder="1" applyAlignment="1">
      <alignment horizontal="center" vertical="center"/>
    </xf>
    <xf numFmtId="4" fontId="11" fillId="0" borderId="3" xfId="0" applyNumberFormat="1" applyFont="1" applyBorder="1" applyAlignment="1">
      <alignment horizontal="center" vertical="center"/>
    </xf>
    <xf numFmtId="3" fontId="12" fillId="6" borderId="6" xfId="0" applyNumberFormat="1" applyFont="1" applyFill="1" applyBorder="1" applyAlignment="1">
      <alignment horizontal="center" vertical="center"/>
    </xf>
    <xf numFmtId="164" fontId="13" fillId="5" borderId="7" xfId="0" applyNumberFormat="1" applyFont="1" applyFill="1" applyBorder="1" applyAlignment="1">
      <alignment horizontal="center" vertical="center"/>
    </xf>
    <xf numFmtId="164" fontId="14" fillId="0" borderId="0" xfId="0" applyNumberFormat="1" applyFont="1" applyAlignment="1">
      <alignment horizontal="center" vertical="center" wrapText="1"/>
    </xf>
    <xf numFmtId="164" fontId="15" fillId="7" borderId="8" xfId="0" applyNumberFormat="1" applyFont="1" applyFill="1" applyBorder="1" applyAlignment="1">
      <alignment horizontal="right" vertical="center"/>
    </xf>
    <xf numFmtId="165" fontId="11" fillId="7" borderId="9" xfId="0" applyNumberFormat="1" applyFont="1" applyFill="1" applyBorder="1" applyAlignment="1">
      <alignment vertical="center"/>
    </xf>
    <xf numFmtId="164" fontId="16" fillId="0" borderId="0" xfId="0" applyNumberFormat="1" applyFont="1" applyAlignment="1">
      <alignment horizontal="center" vertical="center"/>
    </xf>
    <xf numFmtId="164" fontId="18" fillId="6" borderId="6" xfId="0" applyNumberFormat="1" applyFont="1" applyFill="1" applyBorder="1" applyAlignment="1">
      <alignment horizontal="center" vertical="center" wrapText="1"/>
    </xf>
    <xf numFmtId="164" fontId="15" fillId="7" borderId="10" xfId="0" applyNumberFormat="1" applyFont="1" applyFill="1" applyBorder="1" applyAlignment="1">
      <alignment horizontal="right" vertical="center"/>
    </xf>
    <xf numFmtId="164" fontId="11" fillId="7" borderId="11" xfId="0" applyNumberFormat="1" applyFont="1" applyFill="1" applyBorder="1" applyAlignment="1">
      <alignment vertical="center"/>
    </xf>
    <xf numFmtId="10" fontId="16" fillId="0" borderId="0" xfId="0" applyNumberFormat="1" applyFont="1" applyAlignment="1">
      <alignment horizontal="center" vertical="center"/>
    </xf>
    <xf numFmtId="0" fontId="7" fillId="0" borderId="0" xfId="0" applyFont="1" applyAlignment="1">
      <alignment horizontal="center" vertical="center"/>
    </xf>
    <xf numFmtId="164" fontId="15" fillId="7" borderId="12" xfId="0" applyNumberFormat="1" applyFont="1" applyFill="1" applyBorder="1" applyAlignment="1">
      <alignment horizontal="right" vertical="center"/>
    </xf>
    <xf numFmtId="164" fontId="19" fillId="7" borderId="13" xfId="0" applyNumberFormat="1" applyFont="1" applyFill="1" applyBorder="1" applyAlignment="1">
      <alignment vertical="center"/>
    </xf>
    <xf numFmtId="164" fontId="5" fillId="7" borderId="8" xfId="0" applyNumberFormat="1" applyFont="1" applyFill="1" applyBorder="1" applyAlignment="1">
      <alignment horizontal="right" vertical="center"/>
    </xf>
    <xf numFmtId="164" fontId="4" fillId="7" borderId="14" xfId="0" applyNumberFormat="1" applyFont="1" applyFill="1" applyBorder="1" applyAlignment="1">
      <alignment vertical="center"/>
    </xf>
    <xf numFmtId="10" fontId="11" fillId="0" borderId="9" xfId="0" applyNumberFormat="1" applyFont="1" applyBorder="1" applyAlignment="1">
      <alignment horizontal="center" vertical="center"/>
    </xf>
    <xf numFmtId="164" fontId="21" fillId="6" borderId="0" xfId="0" applyNumberFormat="1" applyFont="1" applyFill="1"/>
    <xf numFmtId="166" fontId="18" fillId="6" borderId="6" xfId="0" applyNumberFormat="1" applyFont="1" applyFill="1" applyBorder="1" applyAlignment="1">
      <alignment horizontal="center" vertical="center" wrapText="1"/>
    </xf>
    <xf numFmtId="164" fontId="5" fillId="7" borderId="10" xfId="0" applyNumberFormat="1" applyFont="1" applyFill="1" applyBorder="1" applyAlignment="1">
      <alignment horizontal="right" vertical="center"/>
    </xf>
    <xf numFmtId="164" fontId="4" fillId="7" borderId="0" xfId="0" applyNumberFormat="1" applyFont="1" applyFill="1" applyAlignment="1">
      <alignment vertical="center"/>
    </xf>
    <xf numFmtId="10" fontId="11" fillId="0" borderId="11" xfId="0" applyNumberFormat="1" applyFont="1" applyBorder="1" applyAlignment="1">
      <alignment horizontal="center" vertical="center"/>
    </xf>
    <xf numFmtId="3" fontId="18" fillId="6" borderId="6" xfId="0" applyNumberFormat="1" applyFont="1" applyFill="1" applyBorder="1" applyAlignment="1">
      <alignment horizontal="center" vertical="center" wrapText="1"/>
    </xf>
    <xf numFmtId="167" fontId="17" fillId="5" borderId="6" xfId="0" applyNumberFormat="1" applyFont="1" applyFill="1" applyBorder="1" applyAlignment="1">
      <alignment horizontal="center" vertical="center" wrapText="1"/>
    </xf>
    <xf numFmtId="164" fontId="22" fillId="7" borderId="18" xfId="0" applyNumberFormat="1" applyFont="1" applyFill="1" applyBorder="1" applyAlignment="1">
      <alignment vertical="center"/>
    </xf>
    <xf numFmtId="10" fontId="19" fillId="7" borderId="13" xfId="0" applyNumberFormat="1" applyFont="1" applyFill="1" applyBorder="1" applyAlignment="1">
      <alignment horizontal="center" vertical="center"/>
    </xf>
    <xf numFmtId="10" fontId="17" fillId="5" borderId="6" xfId="0" applyNumberFormat="1" applyFont="1" applyFill="1" applyBorder="1" applyAlignment="1">
      <alignment horizontal="center" vertical="center" wrapText="1"/>
    </xf>
    <xf numFmtId="164" fontId="16" fillId="0" borderId="0" xfId="0" applyNumberFormat="1" applyFont="1" applyAlignment="1">
      <alignment horizontal="right" vertical="center"/>
    </xf>
    <xf numFmtId="164" fontId="5" fillId="7" borderId="22" xfId="0" applyNumberFormat="1" applyFont="1" applyFill="1" applyBorder="1" applyAlignment="1">
      <alignment horizontal="right" vertical="center"/>
    </xf>
    <xf numFmtId="164" fontId="7" fillId="7" borderId="23" xfId="0" applyNumberFormat="1" applyFont="1" applyFill="1" applyBorder="1" applyAlignment="1">
      <alignment vertical="center"/>
    </xf>
    <xf numFmtId="10" fontId="16" fillId="4" borderId="24" xfId="0" applyNumberFormat="1" applyFont="1" applyFill="1" applyBorder="1" applyAlignment="1">
      <alignment horizontal="center" vertical="center"/>
    </xf>
    <xf numFmtId="0" fontId="3" fillId="0" borderId="0" xfId="0" applyFont="1" applyAlignment="1">
      <alignment vertical="center"/>
    </xf>
    <xf numFmtId="164" fontId="16" fillId="0" borderId="0" xfId="0" applyNumberFormat="1" applyFont="1" applyAlignment="1">
      <alignment vertical="center"/>
    </xf>
    <xf numFmtId="164" fontId="6" fillId="5" borderId="25" xfId="0" applyNumberFormat="1" applyFont="1" applyFill="1" applyBorder="1" applyAlignment="1">
      <alignment horizontal="right" vertical="center"/>
    </xf>
    <xf numFmtId="164" fontId="13" fillId="5" borderId="26" xfId="0" applyNumberFormat="1" applyFont="1" applyFill="1" applyBorder="1" applyAlignment="1">
      <alignment vertical="center"/>
    </xf>
    <xf numFmtId="164" fontId="6" fillId="5" borderId="10" xfId="0" applyNumberFormat="1" applyFont="1" applyFill="1" applyBorder="1" applyAlignment="1">
      <alignment horizontal="right" vertical="center"/>
    </xf>
    <xf numFmtId="164" fontId="25" fillId="5" borderId="11" xfId="0" applyNumberFormat="1" applyFont="1" applyFill="1" applyBorder="1" applyAlignment="1">
      <alignment vertical="center"/>
    </xf>
    <xf numFmtId="10" fontId="11" fillId="0" borderId="27" xfId="0" applyNumberFormat="1" applyFont="1" applyBorder="1" applyAlignment="1">
      <alignment horizontal="center" vertical="center"/>
    </xf>
    <xf numFmtId="164" fontId="25" fillId="5" borderId="10" xfId="0" applyNumberFormat="1" applyFont="1" applyFill="1" applyBorder="1" applyAlignment="1">
      <alignment horizontal="right" vertical="center"/>
    </xf>
    <xf numFmtId="167" fontId="11" fillId="0" borderId="11" xfId="0" applyNumberFormat="1" applyFont="1" applyBorder="1" applyAlignment="1">
      <alignment vertical="center"/>
    </xf>
    <xf numFmtId="4" fontId="4" fillId="0" borderId="0" xfId="0" applyNumberFormat="1" applyFont="1" applyAlignment="1">
      <alignment vertical="center"/>
    </xf>
    <xf numFmtId="164" fontId="19" fillId="0" borderId="0" xfId="0" applyNumberFormat="1" applyFont="1" applyAlignment="1">
      <alignment horizontal="center" vertical="center"/>
    </xf>
    <xf numFmtId="164" fontId="4" fillId="0" borderId="0" xfId="0" applyNumberFormat="1" applyFont="1" applyAlignment="1">
      <alignment vertical="center"/>
    </xf>
    <xf numFmtId="0" fontId="26" fillId="0" borderId="0" xfId="0" applyFont="1" applyAlignment="1">
      <alignment horizontal="center" vertical="center"/>
    </xf>
    <xf numFmtId="167" fontId="27" fillId="0" borderId="22" xfId="0" applyNumberFormat="1" applyFont="1" applyBorder="1" applyAlignment="1">
      <alignment horizontal="center" vertical="center"/>
    </xf>
    <xf numFmtId="167" fontId="27" fillId="0" borderId="23" xfId="0" applyNumberFormat="1" applyFont="1" applyBorder="1" applyAlignment="1">
      <alignment horizontal="center" vertical="center"/>
    </xf>
    <xf numFmtId="167" fontId="27" fillId="0" borderId="24" xfId="0" applyNumberFormat="1" applyFont="1" applyBorder="1" applyAlignment="1">
      <alignment horizontal="center" vertical="center"/>
    </xf>
    <xf numFmtId="164" fontId="6" fillId="5" borderId="28" xfId="0" applyNumberFormat="1" applyFont="1" applyFill="1" applyBorder="1" applyAlignment="1">
      <alignment horizontal="right" vertical="center"/>
    </xf>
    <xf numFmtId="164" fontId="13" fillId="5" borderId="29" xfId="0" applyNumberFormat="1" applyFont="1" applyFill="1" applyBorder="1" applyAlignment="1">
      <alignment vertical="center"/>
    </xf>
    <xf numFmtId="10" fontId="28" fillId="0" borderId="0" xfId="0" applyNumberFormat="1" applyFont="1" applyAlignment="1">
      <alignment horizontal="center" vertical="center" wrapText="1"/>
    </xf>
    <xf numFmtId="164" fontId="19" fillId="7" borderId="10" xfId="0" applyNumberFormat="1" applyFont="1" applyFill="1" applyBorder="1" applyAlignment="1">
      <alignment horizontal="center" vertical="center"/>
    </xf>
    <xf numFmtId="164" fontId="19" fillId="7" borderId="0" xfId="0" applyNumberFormat="1" applyFont="1" applyFill="1" applyAlignment="1">
      <alignment horizontal="center" vertical="center"/>
    </xf>
    <xf numFmtId="164" fontId="19" fillId="7" borderId="11" xfId="0" applyNumberFormat="1" applyFont="1" applyFill="1" applyBorder="1" applyAlignment="1">
      <alignment horizontal="center" vertical="center"/>
    </xf>
    <xf numFmtId="164" fontId="15" fillId="8" borderId="10" xfId="0" applyNumberFormat="1" applyFont="1" applyFill="1" applyBorder="1" applyAlignment="1">
      <alignment horizontal="right" vertical="center"/>
    </xf>
    <xf numFmtId="164" fontId="3" fillId="8" borderId="11" xfId="0" applyNumberFormat="1" applyFont="1" applyFill="1" applyBorder="1" applyAlignment="1">
      <alignment vertical="center"/>
    </xf>
    <xf numFmtId="167" fontId="4" fillId="0" borderId="0" xfId="0" applyNumberFormat="1" applyFont="1" applyAlignment="1">
      <alignment vertical="center"/>
    </xf>
    <xf numFmtId="164" fontId="11" fillId="7" borderId="10" xfId="0" applyNumberFormat="1" applyFont="1" applyFill="1" applyBorder="1" applyAlignment="1">
      <alignment horizontal="center" vertical="center"/>
    </xf>
    <xf numFmtId="164" fontId="11" fillId="7" borderId="0" xfId="0" applyNumberFormat="1" applyFont="1" applyFill="1" applyAlignment="1">
      <alignment horizontal="center" vertical="center"/>
    </xf>
    <xf numFmtId="164" fontId="11" fillId="7" borderId="11" xfId="0" applyNumberFormat="1" applyFont="1" applyFill="1" applyBorder="1" applyAlignment="1">
      <alignment horizontal="center" vertical="center"/>
    </xf>
    <xf numFmtId="4" fontId="29" fillId="6" borderId="0" xfId="0" applyNumberFormat="1" applyFont="1" applyFill="1" applyAlignment="1">
      <alignment vertical="center"/>
    </xf>
    <xf numFmtId="164" fontId="3" fillId="8" borderId="0" xfId="0" applyNumberFormat="1" applyFont="1" applyFill="1" applyAlignment="1">
      <alignment vertical="center"/>
    </xf>
    <xf numFmtId="164" fontId="30" fillId="8" borderId="6" xfId="0" applyNumberFormat="1" applyFont="1" applyFill="1" applyBorder="1" applyAlignment="1">
      <alignment horizontal="center" vertical="center"/>
    </xf>
    <xf numFmtId="164" fontId="6" fillId="5" borderId="10" xfId="0" applyNumberFormat="1" applyFont="1" applyFill="1" applyBorder="1" applyAlignment="1">
      <alignment horizontal="center" vertical="center"/>
    </xf>
    <xf numFmtId="164" fontId="6" fillId="5" borderId="0" xfId="0" applyNumberFormat="1" applyFont="1" applyFill="1" applyAlignment="1">
      <alignment horizontal="center" vertical="center"/>
    </xf>
    <xf numFmtId="164" fontId="6" fillId="5" borderId="11" xfId="0" applyNumberFormat="1" applyFont="1" applyFill="1" applyBorder="1" applyAlignment="1">
      <alignment horizontal="center" vertical="center"/>
    </xf>
    <xf numFmtId="164" fontId="13" fillId="0" borderId="0" xfId="0" applyNumberFormat="1" applyFont="1" applyAlignment="1">
      <alignment horizontal="right" vertical="center"/>
    </xf>
    <xf numFmtId="164" fontId="13" fillId="5" borderId="1" xfId="0" applyNumberFormat="1" applyFont="1" applyFill="1" applyBorder="1" applyAlignment="1">
      <alignment horizontal="right" vertical="center"/>
    </xf>
    <xf numFmtId="164" fontId="6" fillId="5" borderId="12" xfId="0" applyNumberFormat="1" applyFont="1" applyFill="1" applyBorder="1" applyAlignment="1">
      <alignment horizontal="center" vertical="center"/>
    </xf>
    <xf numFmtId="164" fontId="6" fillId="5" borderId="18" xfId="0" applyNumberFormat="1" applyFont="1" applyFill="1" applyBorder="1" applyAlignment="1">
      <alignment horizontal="center" vertical="center"/>
    </xf>
    <xf numFmtId="164" fontId="6" fillId="5" borderId="13" xfId="0" applyNumberFormat="1" applyFont="1" applyFill="1" applyBorder="1" applyAlignment="1">
      <alignment horizontal="center" vertical="center"/>
    </xf>
    <xf numFmtId="10" fontId="11" fillId="0" borderId="17" xfId="0" applyNumberFormat="1" applyFont="1" applyBorder="1" applyAlignment="1">
      <alignment horizontal="center" vertical="center"/>
    </xf>
    <xf numFmtId="164" fontId="31" fillId="6" borderId="0" xfId="0" applyNumberFormat="1" applyFont="1" applyFill="1" applyAlignment="1">
      <alignment horizontal="center" vertical="center" wrapText="1"/>
    </xf>
    <xf numFmtId="164" fontId="25" fillId="5" borderId="12" xfId="0" applyNumberFormat="1" applyFont="1" applyFill="1" applyBorder="1" applyAlignment="1">
      <alignment horizontal="right" vertical="center"/>
    </xf>
    <xf numFmtId="164" fontId="25" fillId="5" borderId="13" xfId="0" applyNumberFormat="1" applyFont="1" applyFill="1" applyBorder="1" applyAlignment="1">
      <alignment vertical="center"/>
    </xf>
    <xf numFmtId="10" fontId="11" fillId="0" borderId="21" xfId="0" applyNumberFormat="1" applyFont="1" applyBorder="1" applyAlignment="1">
      <alignment horizontal="center" vertical="center"/>
    </xf>
    <xf numFmtId="164" fontId="27" fillId="0" borderId="0" xfId="0" applyNumberFormat="1" applyFont="1"/>
    <xf numFmtId="164" fontId="5" fillId="6" borderId="3" xfId="0" applyNumberFormat="1" applyFont="1" applyFill="1" applyBorder="1" applyAlignment="1">
      <alignment horizontal="center" wrapText="1"/>
    </xf>
    <xf numFmtId="164" fontId="6" fillId="5" borderId="3" xfId="0" applyNumberFormat="1" applyFont="1" applyFill="1" applyBorder="1" applyAlignment="1">
      <alignment horizontal="center" wrapText="1"/>
    </xf>
    <xf numFmtId="164" fontId="5" fillId="7" borderId="3" xfId="0" applyNumberFormat="1" applyFont="1" applyFill="1" applyBorder="1" applyAlignment="1">
      <alignment horizontal="center" wrapText="1"/>
    </xf>
    <xf numFmtId="164" fontId="27" fillId="6" borderId="0" xfId="0" applyNumberFormat="1" applyFont="1" applyFill="1"/>
    <xf numFmtId="3" fontId="16" fillId="6" borderId="21" xfId="0" applyNumberFormat="1" applyFont="1" applyFill="1" applyBorder="1" applyAlignment="1">
      <alignment horizontal="center"/>
    </xf>
    <xf numFmtId="168" fontId="1" fillId="5" borderId="21" xfId="0" applyNumberFormat="1" applyFont="1" applyFill="1" applyBorder="1" applyAlignment="1">
      <alignment horizontal="center"/>
    </xf>
    <xf numFmtId="168" fontId="16" fillId="7" borderId="21" xfId="0" applyNumberFormat="1" applyFont="1" applyFill="1" applyBorder="1" applyAlignment="1">
      <alignment horizontal="center"/>
    </xf>
    <xf numFmtId="168" fontId="13" fillId="5" borderId="21" xfId="0" applyNumberFormat="1" applyFont="1" applyFill="1" applyBorder="1" applyAlignment="1">
      <alignment horizontal="center"/>
    </xf>
    <xf numFmtId="167" fontId="27" fillId="0" borderId="0" xfId="0" applyNumberFormat="1" applyFont="1"/>
    <xf numFmtId="10" fontId="27" fillId="0" borderId="0" xfId="0" applyNumberFormat="1" applyFont="1"/>
    <xf numFmtId="168" fontId="27" fillId="0" borderId="20" xfId="0" applyNumberFormat="1" applyFont="1" applyBorder="1"/>
    <xf numFmtId="0" fontId="32" fillId="6" borderId="31" xfId="0" applyFont="1" applyFill="1" applyBorder="1" applyAlignment="1">
      <alignment horizontal="center"/>
    </xf>
    <xf numFmtId="0" fontId="33" fillId="6" borderId="32" xfId="0" applyFont="1" applyFill="1" applyBorder="1" applyAlignment="1">
      <alignment horizontal="center"/>
    </xf>
    <xf numFmtId="49" fontId="33" fillId="10" borderId="6" xfId="0" applyNumberFormat="1" applyFont="1" applyFill="1" applyBorder="1" applyAlignment="1">
      <alignment horizontal="center" vertical="center" wrapText="1"/>
    </xf>
    <xf numFmtId="49" fontId="33" fillId="11" borderId="6" xfId="0" applyNumberFormat="1" applyFont="1" applyFill="1" applyBorder="1" applyAlignment="1">
      <alignment horizontal="center" vertical="center" wrapText="1"/>
    </xf>
    <xf numFmtId="0" fontId="18" fillId="6" borderId="33" xfId="0" applyFont="1" applyFill="1" applyBorder="1" applyAlignment="1">
      <alignment horizontal="center"/>
    </xf>
    <xf numFmtId="3" fontId="11" fillId="6" borderId="0" xfId="0" applyNumberFormat="1" applyFont="1" applyFill="1"/>
    <xf numFmtId="3" fontId="11" fillId="6" borderId="6" xfId="0" applyNumberFormat="1" applyFont="1" applyFill="1" applyBorder="1" applyAlignment="1">
      <alignment horizontal="left"/>
    </xf>
    <xf numFmtId="49" fontId="11" fillId="0" borderId="6" xfId="0" applyNumberFormat="1" applyFont="1" applyBorder="1" applyAlignment="1">
      <alignment horizontal="center"/>
    </xf>
    <xf numFmtId="1" fontId="11" fillId="0" borderId="6" xfId="0" applyNumberFormat="1" applyFont="1" applyBorder="1" applyAlignment="1">
      <alignment horizontal="center"/>
    </xf>
    <xf numFmtId="2" fontId="11" fillId="0" borderId="6" xfId="0" applyNumberFormat="1" applyFont="1" applyBorder="1" applyAlignment="1">
      <alignment horizontal="center"/>
    </xf>
    <xf numFmtId="169" fontId="4" fillId="6" borderId="6" xfId="0" applyNumberFormat="1" applyFont="1" applyFill="1" applyBorder="1" applyAlignment="1">
      <alignment horizontal="center"/>
    </xf>
    <xf numFmtId="0" fontId="11" fillId="0" borderId="0" xfId="0" applyFont="1"/>
    <xf numFmtId="49" fontId="4" fillId="6" borderId="0" xfId="0" applyNumberFormat="1" applyFont="1" applyFill="1" applyAlignment="1">
      <alignment horizontal="center"/>
    </xf>
    <xf numFmtId="2" fontId="11" fillId="6" borderId="6" xfId="0" applyNumberFormat="1" applyFont="1" applyFill="1" applyBorder="1" applyAlignment="1">
      <alignment horizontal="center"/>
    </xf>
    <xf numFmtId="170" fontId="4" fillId="0" borderId="6" xfId="0" applyNumberFormat="1" applyFont="1" applyBorder="1" applyAlignment="1">
      <alignment horizontal="center"/>
    </xf>
    <xf numFmtId="170" fontId="11" fillId="6" borderId="6" xfId="0" applyNumberFormat="1" applyFont="1" applyFill="1" applyBorder="1" applyAlignment="1">
      <alignment horizontal="center"/>
    </xf>
    <xf numFmtId="169" fontId="11" fillId="6" borderId="6" xfId="0" applyNumberFormat="1" applyFont="1" applyFill="1" applyBorder="1" applyAlignment="1">
      <alignment horizontal="center"/>
    </xf>
    <xf numFmtId="2" fontId="11" fillId="6" borderId="6" xfId="0" applyNumberFormat="1" applyFont="1" applyFill="1" applyBorder="1" applyAlignment="1">
      <alignment horizontal="center" vertical="top"/>
    </xf>
    <xf numFmtId="3" fontId="11" fillId="6" borderId="6" xfId="0" applyNumberFormat="1" applyFont="1" applyFill="1" applyBorder="1" applyAlignment="1">
      <alignment horizontal="center"/>
    </xf>
    <xf numFmtId="2" fontId="4" fillId="0" borderId="6" xfId="0" applyNumberFormat="1" applyFont="1" applyBorder="1" applyAlignment="1">
      <alignment horizontal="center"/>
    </xf>
    <xf numFmtId="0" fontId="4" fillId="0" borderId="6" xfId="0" applyFont="1" applyBorder="1"/>
    <xf numFmtId="49" fontId="4" fillId="6" borderId="6" xfId="0" applyNumberFormat="1" applyFont="1" applyFill="1" applyBorder="1" applyAlignment="1">
      <alignment horizontal="center"/>
    </xf>
    <xf numFmtId="0" fontId="4" fillId="0" borderId="6" xfId="0" applyFont="1" applyBorder="1" applyAlignment="1">
      <alignment horizontal="center"/>
    </xf>
    <xf numFmtId="3" fontId="34" fillId="12" borderId="0" xfId="0" applyNumberFormat="1" applyFont="1" applyFill="1" applyAlignment="1">
      <alignment horizontal="center" vertical="center"/>
    </xf>
    <xf numFmtId="0" fontId="35" fillId="0" borderId="0" xfId="0" applyFont="1"/>
    <xf numFmtId="0" fontId="36" fillId="0" borderId="0" xfId="0" applyFont="1"/>
    <xf numFmtId="0" fontId="37" fillId="0" borderId="0" xfId="0" applyFont="1"/>
    <xf numFmtId="0" fontId="16" fillId="0" borderId="0" xfId="0" applyFont="1"/>
    <xf numFmtId="167" fontId="4" fillId="0" borderId="0" xfId="0" applyNumberFormat="1" applyFont="1"/>
    <xf numFmtId="10" fontId="4" fillId="0" borderId="0" xfId="0" applyNumberFormat="1" applyFont="1"/>
    <xf numFmtId="0" fontId="37" fillId="2" borderId="0" xfId="0" applyFont="1" applyFill="1"/>
    <xf numFmtId="0" fontId="36" fillId="2" borderId="0" xfId="0" applyFont="1" applyFill="1"/>
    <xf numFmtId="0" fontId="53" fillId="0" borderId="0" xfId="0" applyFont="1"/>
    <xf numFmtId="0" fontId="41" fillId="0" borderId="0" xfId="0" applyFont="1"/>
    <xf numFmtId="0" fontId="53" fillId="0" borderId="0" xfId="0" applyFont="1" applyAlignment="1">
      <alignment horizontal="center"/>
    </xf>
    <xf numFmtId="0" fontId="56" fillId="0" borderId="0" xfId="0" applyFont="1"/>
    <xf numFmtId="0" fontId="56" fillId="0" borderId="0" xfId="0" applyFont="1" applyAlignment="1">
      <alignment vertical="center"/>
    </xf>
    <xf numFmtId="164" fontId="56" fillId="0" borderId="0" xfId="0" applyNumberFormat="1" applyFont="1" applyAlignment="1">
      <alignment vertical="center"/>
    </xf>
    <xf numFmtId="164" fontId="44" fillId="6" borderId="0" xfId="0" applyNumberFormat="1" applyFont="1" applyFill="1"/>
    <xf numFmtId="164" fontId="56" fillId="0" borderId="0" xfId="0" applyNumberFormat="1" applyFont="1" applyAlignment="1">
      <alignment horizontal="center" vertical="center"/>
    </xf>
    <xf numFmtId="10" fontId="56" fillId="0" borderId="0" xfId="0" applyNumberFormat="1" applyFont="1" applyAlignment="1">
      <alignment horizontal="center" vertical="center"/>
    </xf>
    <xf numFmtId="0" fontId="44" fillId="0" borderId="0" xfId="0" applyFont="1" applyAlignment="1">
      <alignment horizontal="center" vertical="center"/>
    </xf>
    <xf numFmtId="164" fontId="58" fillId="6" borderId="0" xfId="0" applyNumberFormat="1" applyFont="1" applyFill="1"/>
    <xf numFmtId="164" fontId="61" fillId="6" borderId="0" xfId="0" applyNumberFormat="1" applyFont="1" applyFill="1" applyAlignment="1">
      <alignment horizontal="center" vertical="center" wrapText="1"/>
    </xf>
    <xf numFmtId="0" fontId="40" fillId="0" borderId="0" xfId="0" applyFont="1" applyAlignment="1">
      <alignment horizontal="center" vertical="center"/>
    </xf>
    <xf numFmtId="10" fontId="45" fillId="0" borderId="0" xfId="0" applyNumberFormat="1" applyFont="1" applyAlignment="1">
      <alignment horizontal="center" vertical="center" wrapText="1"/>
    </xf>
    <xf numFmtId="4" fontId="63" fillId="6" borderId="0" xfId="0" applyNumberFormat="1" applyFont="1" applyFill="1" applyAlignment="1">
      <alignment vertical="center"/>
    </xf>
    <xf numFmtId="164" fontId="50" fillId="0" borderId="0" xfId="0" applyNumberFormat="1" applyFont="1" applyAlignment="1">
      <alignment horizontal="right" vertical="center"/>
    </xf>
    <xf numFmtId="164" fontId="56" fillId="0" borderId="0" xfId="0" applyNumberFormat="1" applyFont="1"/>
    <xf numFmtId="164" fontId="56" fillId="6" borderId="0" xfId="0" applyNumberFormat="1" applyFont="1" applyFill="1"/>
    <xf numFmtId="167" fontId="56" fillId="0" borderId="0" xfId="0" applyNumberFormat="1" applyFont="1"/>
    <xf numFmtId="10" fontId="56" fillId="0" borderId="0" xfId="0" applyNumberFormat="1" applyFont="1"/>
    <xf numFmtId="164" fontId="50" fillId="9" borderId="0" xfId="0" applyNumberFormat="1" applyFont="1" applyFill="1" applyAlignment="1">
      <alignment vertical="center"/>
    </xf>
    <xf numFmtId="164" fontId="64" fillId="7" borderId="0" xfId="0" applyNumberFormat="1" applyFont="1" applyFill="1" applyAlignment="1">
      <alignment vertical="center"/>
    </xf>
    <xf numFmtId="10" fontId="64" fillId="0" borderId="0" xfId="0" applyNumberFormat="1" applyFont="1" applyAlignment="1">
      <alignment horizontal="center" vertical="center"/>
    </xf>
    <xf numFmtId="10" fontId="40" fillId="0" borderId="0" xfId="0" applyNumberFormat="1" applyFont="1" applyAlignment="1">
      <alignment horizontal="center" vertical="center"/>
    </xf>
    <xf numFmtId="0" fontId="56" fillId="0" borderId="0" xfId="0" applyFont="1" applyAlignment="1">
      <alignment horizontal="center"/>
    </xf>
    <xf numFmtId="0" fontId="64" fillId="0" borderId="0" xfId="0" applyFont="1" applyAlignment="1">
      <alignment horizontal="center" vertical="center"/>
    </xf>
    <xf numFmtId="4" fontId="40" fillId="0" borderId="0" xfId="0" applyNumberFormat="1" applyFont="1" applyAlignment="1">
      <alignment horizontal="center" vertical="center"/>
    </xf>
    <xf numFmtId="164" fontId="56" fillId="0" borderId="0" xfId="0" applyNumberFormat="1" applyFont="1" applyAlignment="1">
      <alignment horizontal="left" vertical="center"/>
    </xf>
    <xf numFmtId="164" fontId="43" fillId="21" borderId="12" xfId="0" applyNumberFormat="1" applyFont="1" applyFill="1" applyBorder="1" applyAlignment="1">
      <alignment horizontal="left" vertical="center"/>
    </xf>
    <xf numFmtId="172" fontId="43" fillId="21" borderId="13" xfId="0" applyNumberFormat="1" applyFont="1" applyFill="1" applyBorder="1" applyAlignment="1">
      <alignment vertical="center"/>
    </xf>
    <xf numFmtId="172" fontId="56" fillId="0" borderId="0" xfId="0" applyNumberFormat="1" applyFont="1" applyAlignment="1">
      <alignment vertical="center"/>
    </xf>
    <xf numFmtId="172" fontId="62" fillId="5" borderId="0" xfId="0" applyNumberFormat="1" applyFont="1" applyFill="1" applyAlignment="1">
      <alignment vertical="center"/>
    </xf>
    <xf numFmtId="0" fontId="50" fillId="19" borderId="36" xfId="0" applyFont="1" applyFill="1" applyBorder="1" applyAlignment="1">
      <alignment vertical="center"/>
    </xf>
    <xf numFmtId="10" fontId="44" fillId="0" borderId="42" xfId="0" applyNumberFormat="1" applyFont="1" applyBorder="1" applyAlignment="1">
      <alignment horizontal="center" vertical="center"/>
    </xf>
    <xf numFmtId="0" fontId="60" fillId="0" borderId="0" xfId="0" applyFont="1"/>
    <xf numFmtId="164" fontId="60" fillId="0" borderId="0" xfId="0" applyNumberFormat="1" applyFont="1" applyAlignment="1">
      <alignment vertical="center"/>
    </xf>
    <xf numFmtId="0" fontId="45" fillId="0" borderId="0" xfId="0" applyFont="1"/>
    <xf numFmtId="164" fontId="45" fillId="0" borderId="0" xfId="0" applyNumberFormat="1" applyFont="1" applyAlignment="1">
      <alignment horizontal="right" vertical="center"/>
    </xf>
    <xf numFmtId="3" fontId="45" fillId="0" borderId="0" xfId="0" applyNumberFormat="1" applyFont="1" applyAlignment="1">
      <alignment horizontal="center" vertical="center"/>
    </xf>
    <xf numFmtId="164" fontId="50" fillId="5" borderId="12" xfId="0" applyNumberFormat="1" applyFont="1" applyFill="1" applyBorder="1" applyAlignment="1">
      <alignment horizontal="left" vertical="center"/>
    </xf>
    <xf numFmtId="164" fontId="50" fillId="5" borderId="0" xfId="0" applyNumberFormat="1" applyFont="1" applyFill="1" applyAlignment="1">
      <alignment horizontal="left" vertical="center"/>
    </xf>
    <xf numFmtId="44" fontId="62" fillId="5" borderId="18" xfId="0" applyNumberFormat="1" applyFont="1" applyFill="1" applyBorder="1" applyAlignment="1">
      <alignment vertical="center"/>
    </xf>
    <xf numFmtId="172" fontId="45" fillId="0" borderId="0" xfId="0" applyNumberFormat="1" applyFont="1" applyAlignment="1">
      <alignment horizontal="center" vertical="center"/>
    </xf>
    <xf numFmtId="164" fontId="40" fillId="25" borderId="25" xfId="0" applyNumberFormat="1" applyFont="1" applyFill="1" applyBorder="1" applyAlignment="1">
      <alignment horizontal="left" vertical="center"/>
    </xf>
    <xf numFmtId="172" fontId="40" fillId="25" borderId="26" xfId="0" applyNumberFormat="1" applyFont="1" applyFill="1" applyBorder="1" applyAlignment="1">
      <alignment vertical="center"/>
    </xf>
    <xf numFmtId="164" fontId="56" fillId="0" borderId="10" xfId="0" applyNumberFormat="1" applyFont="1" applyBorder="1" applyAlignment="1">
      <alignment horizontal="left" vertical="center"/>
    </xf>
    <xf numFmtId="10" fontId="56" fillId="0" borderId="0" xfId="0" applyNumberFormat="1" applyFont="1" applyAlignment="1">
      <alignment horizontal="center"/>
    </xf>
    <xf numFmtId="168" fontId="56" fillId="7" borderId="0" xfId="0" applyNumberFormat="1" applyFont="1" applyFill="1" applyAlignment="1">
      <alignment horizontal="center"/>
    </xf>
    <xf numFmtId="3" fontId="56" fillId="0" borderId="42" xfId="0" applyNumberFormat="1" applyFont="1" applyBorder="1" applyAlignment="1">
      <alignment horizontal="center" vertical="center" wrapText="1"/>
    </xf>
    <xf numFmtId="167" fontId="40" fillId="0" borderId="42" xfId="0" applyNumberFormat="1" applyFont="1" applyBorder="1" applyAlignment="1">
      <alignment horizontal="center" vertical="center" wrapText="1"/>
    </xf>
    <xf numFmtId="10" fontId="40" fillId="0" borderId="42" xfId="0" applyNumberFormat="1" applyFont="1" applyBorder="1" applyAlignment="1">
      <alignment horizontal="center" vertical="center" wrapText="1"/>
    </xf>
    <xf numFmtId="4" fontId="56" fillId="6" borderId="0" xfId="0" applyNumberFormat="1" applyFont="1" applyFill="1" applyAlignment="1">
      <alignment vertical="center"/>
    </xf>
    <xf numFmtId="167" fontId="71" fillId="0" borderId="0" xfId="0" applyNumberFormat="1" applyFont="1" applyAlignment="1">
      <alignment horizontal="left" vertical="center"/>
    </xf>
    <xf numFmtId="0" fontId="40" fillId="0" borderId="46" xfId="0" applyFont="1" applyBorder="1" applyAlignment="1">
      <alignment horizontal="center"/>
    </xf>
    <xf numFmtId="172" fontId="71" fillId="0" borderId="0" xfId="1" applyNumberFormat="1" applyFont="1" applyAlignment="1">
      <alignment horizontal="center" vertical="center"/>
    </xf>
    <xf numFmtId="10" fontId="59" fillId="0" borderId="24" xfId="0" applyNumberFormat="1" applyFont="1" applyBorder="1" applyAlignment="1">
      <alignment horizontal="center" vertical="center"/>
    </xf>
    <xf numFmtId="10" fontId="65" fillId="0" borderId="13" xfId="0" applyNumberFormat="1" applyFont="1" applyBorder="1" applyAlignment="1">
      <alignment horizontal="center" vertical="center"/>
    </xf>
    <xf numFmtId="164" fontId="56" fillId="0" borderId="8" xfId="0" applyNumberFormat="1" applyFont="1" applyBorder="1" applyAlignment="1">
      <alignment horizontal="left" vertical="center"/>
    </xf>
    <xf numFmtId="164" fontId="44" fillId="0" borderId="8" xfId="0" applyNumberFormat="1" applyFont="1" applyBorder="1" applyAlignment="1">
      <alignment horizontal="left" vertical="center"/>
    </xf>
    <xf numFmtId="172" fontId="44" fillId="0" borderId="9" xfId="0" applyNumberFormat="1" applyFont="1" applyBorder="1" applyAlignment="1">
      <alignment horizontal="right" vertical="center"/>
    </xf>
    <xf numFmtId="164" fontId="44" fillId="0" borderId="10" xfId="0" applyNumberFormat="1" applyFont="1" applyBorder="1" applyAlignment="1">
      <alignment horizontal="left" vertical="center"/>
    </xf>
    <xf numFmtId="172" fontId="44" fillId="0" borderId="11" xfId="0" applyNumberFormat="1" applyFont="1" applyBorder="1" applyAlignment="1">
      <alignment vertical="center"/>
    </xf>
    <xf numFmtId="164" fontId="40" fillId="25" borderId="57" xfId="0" applyNumberFormat="1" applyFont="1" applyFill="1" applyBorder="1" applyAlignment="1">
      <alignment horizontal="left" vertical="center"/>
    </xf>
    <xf numFmtId="164" fontId="40" fillId="25" borderId="59" xfId="0" applyNumberFormat="1" applyFont="1" applyFill="1" applyBorder="1" applyAlignment="1">
      <alignment horizontal="left" vertical="center"/>
    </xf>
    <xf numFmtId="164" fontId="40" fillId="25" borderId="60" xfId="0" applyNumberFormat="1" applyFont="1" applyFill="1" applyBorder="1" applyAlignment="1">
      <alignment horizontal="left" vertical="center"/>
    </xf>
    <xf numFmtId="164" fontId="56" fillId="0" borderId="56" xfId="0" applyNumberFormat="1" applyFont="1" applyBorder="1" applyAlignment="1">
      <alignment horizontal="left" vertical="center"/>
    </xf>
    <xf numFmtId="164" fontId="44" fillId="0" borderId="56" xfId="0" applyNumberFormat="1" applyFont="1" applyBorder="1" applyAlignment="1">
      <alignment horizontal="left" vertical="center"/>
    </xf>
    <xf numFmtId="172" fontId="44" fillId="0" borderId="62" xfId="0" applyNumberFormat="1" applyFont="1" applyBorder="1" applyAlignment="1">
      <alignment vertical="center"/>
    </xf>
    <xf numFmtId="172" fontId="56" fillId="0" borderId="63" xfId="0" applyNumberFormat="1" applyFont="1" applyBorder="1" applyAlignment="1">
      <alignment vertical="center"/>
    </xf>
    <xf numFmtId="172" fontId="56" fillId="0" borderId="52" xfId="0" applyNumberFormat="1" applyFont="1" applyBorder="1" applyAlignment="1">
      <alignment vertical="center"/>
    </xf>
    <xf numFmtId="172" fontId="56" fillId="0" borderId="46" xfId="0" applyNumberFormat="1" applyFont="1" applyBorder="1" applyAlignment="1">
      <alignment vertical="center"/>
    </xf>
    <xf numFmtId="172" fontId="40" fillId="21" borderId="55" xfId="0" applyNumberFormat="1" applyFont="1" applyFill="1" applyBorder="1" applyAlignment="1">
      <alignment vertical="center"/>
    </xf>
    <xf numFmtId="164" fontId="64" fillId="0" borderId="0" xfId="0" applyNumberFormat="1" applyFont="1" applyAlignment="1">
      <alignment vertical="center"/>
    </xf>
    <xf numFmtId="164" fontId="40" fillId="0" borderId="0" xfId="0" applyNumberFormat="1" applyFont="1" applyAlignment="1">
      <alignment vertical="center"/>
    </xf>
    <xf numFmtId="9" fontId="40" fillId="0" borderId="0" xfId="0" applyNumberFormat="1" applyFont="1" applyAlignment="1">
      <alignment horizontal="center" vertical="center"/>
    </xf>
    <xf numFmtId="0" fontId="40" fillId="0" borderId="0" xfId="0" applyFont="1"/>
    <xf numFmtId="3" fontId="40" fillId="0" borderId="0" xfId="0" applyNumberFormat="1" applyFont="1"/>
    <xf numFmtId="164" fontId="56" fillId="30" borderId="49" xfId="0" applyNumberFormat="1" applyFont="1" applyFill="1" applyBorder="1" applyAlignment="1">
      <alignment vertical="center"/>
    </xf>
    <xf numFmtId="0" fontId="56" fillId="30" borderId="50" xfId="0" applyFont="1" applyFill="1" applyBorder="1"/>
    <xf numFmtId="164" fontId="56" fillId="30" borderId="51" xfId="0" applyNumberFormat="1" applyFont="1" applyFill="1" applyBorder="1" applyAlignment="1">
      <alignment vertical="center"/>
    </xf>
    <xf numFmtId="0" fontId="56" fillId="30" borderId="52" xfId="0" applyFont="1" applyFill="1" applyBorder="1"/>
    <xf numFmtId="164" fontId="56" fillId="30" borderId="45" xfId="0" applyNumberFormat="1" applyFont="1" applyFill="1" applyBorder="1" applyAlignment="1">
      <alignment vertical="center"/>
    </xf>
    <xf numFmtId="0" fontId="56" fillId="30" borderId="46" xfId="0" applyFont="1" applyFill="1" applyBorder="1"/>
    <xf numFmtId="0" fontId="73" fillId="0" borderId="0" xfId="0" applyFont="1" applyAlignment="1">
      <alignment horizontal="center"/>
    </xf>
    <xf numFmtId="0" fontId="74" fillId="0" borderId="0" xfId="0" applyFont="1" applyAlignment="1">
      <alignment horizontal="center" vertical="top"/>
    </xf>
    <xf numFmtId="0" fontId="75" fillId="0" borderId="0" xfId="0" applyFont="1" applyAlignment="1">
      <alignment horizontal="left" vertical="top"/>
    </xf>
    <xf numFmtId="9" fontId="74" fillId="0" borderId="0" xfId="0" applyNumberFormat="1" applyFont="1" applyAlignment="1">
      <alignment horizontal="center" vertical="top"/>
    </xf>
    <xf numFmtId="0" fontId="74" fillId="12" borderId="0" xfId="0" applyFont="1" applyFill="1" applyAlignment="1">
      <alignment horizontal="left" vertical="top"/>
    </xf>
    <xf numFmtId="0" fontId="74" fillId="0" borderId="0" xfId="0" applyFont="1" applyAlignment="1">
      <alignment horizontal="left" vertical="top"/>
    </xf>
    <xf numFmtId="0" fontId="74" fillId="12" borderId="0" xfId="0" applyFont="1" applyFill="1" applyAlignment="1">
      <alignment horizontal="center" vertical="top"/>
    </xf>
    <xf numFmtId="0" fontId="53" fillId="12" borderId="0" xfId="0" applyFont="1" applyFill="1"/>
    <xf numFmtId="0" fontId="74" fillId="13" borderId="0" xfId="0" applyFont="1" applyFill="1" applyAlignment="1">
      <alignment horizontal="center" vertical="top" wrapText="1"/>
    </xf>
    <xf numFmtId="0" fontId="74" fillId="14" borderId="0" xfId="0" applyFont="1" applyFill="1" applyAlignment="1">
      <alignment horizontal="center" vertical="top"/>
    </xf>
    <xf numFmtId="0" fontId="74" fillId="14" borderId="0" xfId="0" applyFont="1" applyFill="1" applyAlignment="1">
      <alignment horizontal="center" vertical="top" wrapText="1"/>
    </xf>
    <xf numFmtId="0" fontId="74" fillId="13" borderId="0" xfId="0" applyFont="1" applyFill="1" applyAlignment="1">
      <alignment horizontal="center" vertical="top"/>
    </xf>
    <xf numFmtId="0" fontId="74" fillId="15" borderId="0" xfId="0" applyFont="1" applyFill="1" applyAlignment="1">
      <alignment horizontal="center" vertical="top" wrapText="1"/>
    </xf>
    <xf numFmtId="0" fontId="74" fillId="16" borderId="0" xfId="0" applyFont="1" applyFill="1" applyAlignment="1">
      <alignment horizontal="center" vertical="top"/>
    </xf>
    <xf numFmtId="0" fontId="74" fillId="16" borderId="0" xfId="0" applyFont="1" applyFill="1" applyAlignment="1">
      <alignment horizontal="center" vertical="top" wrapText="1"/>
    </xf>
    <xf numFmtId="0" fontId="74" fillId="17" borderId="0" xfId="0" applyFont="1" applyFill="1" applyAlignment="1">
      <alignment horizontal="center" vertical="top" wrapText="1"/>
    </xf>
    <xf numFmtId="0" fontId="74" fillId="18" borderId="0" xfId="0" applyFont="1" applyFill="1" applyAlignment="1">
      <alignment horizontal="center" vertical="top" wrapText="1"/>
    </xf>
    <xf numFmtId="0" fontId="74" fillId="0" borderId="0" xfId="0" applyFont="1" applyAlignment="1">
      <alignment horizontal="center" vertical="top" wrapText="1"/>
    </xf>
    <xf numFmtId="0" fontId="42" fillId="0" borderId="0" xfId="0" applyFont="1" applyAlignment="1">
      <alignment horizontal="center"/>
    </xf>
    <xf numFmtId="165" fontId="42" fillId="0" borderId="0" xfId="0" applyNumberFormat="1" applyFont="1"/>
    <xf numFmtId="164" fontId="42" fillId="0" borderId="0" xfId="0" applyNumberFormat="1" applyFont="1"/>
    <xf numFmtId="0" fontId="78" fillId="6" borderId="0" xfId="0" applyFont="1" applyFill="1"/>
    <xf numFmtId="167" fontId="42" fillId="0" borderId="0" xfId="0" applyNumberFormat="1" applyFont="1"/>
    <xf numFmtId="164" fontId="79" fillId="0" borderId="0" xfId="0" applyNumberFormat="1" applyFont="1"/>
    <xf numFmtId="0" fontId="79" fillId="0" borderId="0" xfId="0" applyFont="1"/>
    <xf numFmtId="167" fontId="79" fillId="0" borderId="0" xfId="0" applyNumberFormat="1" applyFont="1"/>
    <xf numFmtId="164" fontId="74" fillId="0" borderId="0" xfId="0" applyNumberFormat="1" applyFont="1"/>
    <xf numFmtId="14" fontId="42" fillId="0" borderId="0" xfId="0" applyNumberFormat="1" applyFont="1"/>
    <xf numFmtId="0" fontId="74" fillId="0" borderId="0" xfId="0" applyFont="1" applyAlignment="1">
      <alignment horizontal="center"/>
    </xf>
    <xf numFmtId="165" fontId="74" fillId="0" borderId="0" xfId="0" applyNumberFormat="1" applyFont="1"/>
    <xf numFmtId="164" fontId="48" fillId="6" borderId="0" xfId="0" applyNumberFormat="1" applyFont="1" applyFill="1"/>
    <xf numFmtId="164" fontId="80" fillId="0" borderId="0" xfId="0" applyNumberFormat="1" applyFont="1"/>
    <xf numFmtId="164" fontId="81" fillId="0" borderId="0" xfId="0" applyNumberFormat="1" applyFont="1"/>
    <xf numFmtId="0" fontId="74" fillId="0" borderId="0" xfId="0" applyFont="1"/>
    <xf numFmtId="14" fontId="74" fillId="0" borderId="0" xfId="0" applyNumberFormat="1" applyFont="1"/>
    <xf numFmtId="167" fontId="74" fillId="0" borderId="0" xfId="0" applyNumberFormat="1" applyFont="1"/>
    <xf numFmtId="164" fontId="43" fillId="6" borderId="0" xfId="0" applyNumberFormat="1" applyFont="1" applyFill="1"/>
    <xf numFmtId="164" fontId="49" fillId="6" borderId="0" xfId="0" applyNumberFormat="1" applyFont="1" applyFill="1"/>
    <xf numFmtId="164" fontId="42" fillId="6" borderId="0" xfId="0" applyNumberFormat="1" applyFont="1" applyFill="1"/>
    <xf numFmtId="0" fontId="42" fillId="0" borderId="0" xfId="0" applyFont="1"/>
    <xf numFmtId="2" fontId="74" fillId="0" borderId="0" xfId="0" applyNumberFormat="1" applyFont="1"/>
    <xf numFmtId="10" fontId="74" fillId="0" borderId="0" xfId="0" applyNumberFormat="1" applyFont="1"/>
    <xf numFmtId="14" fontId="44" fillId="6" borderId="0" xfId="0" applyNumberFormat="1" applyFont="1" applyFill="1"/>
    <xf numFmtId="14" fontId="43" fillId="6" borderId="0" xfId="0" applyNumberFormat="1" applyFont="1" applyFill="1"/>
    <xf numFmtId="0" fontId="74" fillId="0" borderId="0" xfId="0" applyFont="1" applyAlignment="1">
      <alignment horizontal="center" wrapText="1"/>
    </xf>
    <xf numFmtId="0" fontId="74" fillId="0" borderId="0" xfId="0" applyFont="1" applyAlignment="1">
      <alignment horizontal="center" vertical="center" wrapText="1"/>
    </xf>
    <xf numFmtId="3" fontId="74" fillId="0" borderId="0" xfId="0" applyNumberFormat="1" applyFont="1" applyAlignment="1">
      <alignment horizontal="center"/>
    </xf>
    <xf numFmtId="0" fontId="52" fillId="0" borderId="0" xfId="0" applyFont="1"/>
    <xf numFmtId="0" fontId="46" fillId="0" borderId="0" xfId="0" applyFont="1"/>
    <xf numFmtId="0" fontId="54" fillId="2" borderId="0" xfId="0" applyFont="1" applyFill="1"/>
    <xf numFmtId="0" fontId="60" fillId="3" borderId="0" xfId="0" applyFont="1" applyFill="1"/>
    <xf numFmtId="0" fontId="56" fillId="3" borderId="0" xfId="0" applyFont="1" applyFill="1"/>
    <xf numFmtId="166" fontId="56" fillId="0" borderId="0" xfId="0" applyNumberFormat="1" applyFont="1"/>
    <xf numFmtId="167" fontId="56" fillId="0" borderId="36" xfId="0" applyNumberFormat="1" applyFont="1" applyBorder="1"/>
    <xf numFmtId="10" fontId="56" fillId="0" borderId="30" xfId="0" applyNumberFormat="1" applyFont="1" applyBorder="1"/>
    <xf numFmtId="0" fontId="56" fillId="0" borderId="30" xfId="0" applyFont="1" applyBorder="1"/>
    <xf numFmtId="167" fontId="40" fillId="0" borderId="0" xfId="0" applyNumberFormat="1" applyFont="1"/>
    <xf numFmtId="10" fontId="40" fillId="0" borderId="0" xfId="0" applyNumberFormat="1" applyFont="1"/>
    <xf numFmtId="167" fontId="40" fillId="0" borderId="36" xfId="0" applyNumberFormat="1" applyFont="1" applyBorder="1"/>
    <xf numFmtId="10" fontId="40" fillId="0" borderId="30" xfId="0" applyNumberFormat="1" applyFont="1" applyBorder="1"/>
    <xf numFmtId="0" fontId="56" fillId="0" borderId="36" xfId="0" applyFont="1" applyBorder="1" applyAlignment="1">
      <alignment horizontal="center"/>
    </xf>
    <xf numFmtId="10" fontId="56" fillId="0" borderId="30" xfId="0" applyNumberFormat="1" applyFont="1" applyBorder="1" applyAlignment="1">
      <alignment horizontal="center"/>
    </xf>
    <xf numFmtId="0" fontId="53" fillId="0" borderId="30" xfId="0" applyFont="1" applyBorder="1" applyAlignment="1">
      <alignment horizontal="center"/>
    </xf>
    <xf numFmtId="0" fontId="56" fillId="0" borderId="30" xfId="0" applyFont="1" applyBorder="1" applyAlignment="1">
      <alignment horizontal="center"/>
    </xf>
    <xf numFmtId="167" fontId="40" fillId="0" borderId="36" xfId="0" applyNumberFormat="1" applyFont="1" applyBorder="1" applyAlignment="1">
      <alignment horizontal="center"/>
    </xf>
    <xf numFmtId="9" fontId="56" fillId="0" borderId="30" xfId="0" applyNumberFormat="1" applyFont="1" applyBorder="1" applyAlignment="1">
      <alignment horizontal="center"/>
    </xf>
    <xf numFmtId="167" fontId="40" fillId="0" borderId="0" xfId="0" applyNumberFormat="1" applyFont="1" applyAlignment="1">
      <alignment horizontal="center"/>
    </xf>
    <xf numFmtId="10" fontId="40" fillId="0" borderId="30" xfId="0" applyNumberFormat="1" applyFont="1" applyBorder="1" applyAlignment="1">
      <alignment horizontal="center"/>
    </xf>
    <xf numFmtId="167" fontId="56" fillId="0" borderId="36" xfId="0" applyNumberFormat="1" applyFont="1" applyBorder="1" applyAlignment="1">
      <alignment horizontal="center"/>
    </xf>
    <xf numFmtId="0" fontId="53" fillId="3" borderId="0" xfId="0" applyFont="1" applyFill="1"/>
    <xf numFmtId="10" fontId="82" fillId="0" borderId="0" xfId="0" applyNumberFormat="1" applyFont="1" applyAlignment="1">
      <alignment vertical="top" wrapText="1"/>
    </xf>
    <xf numFmtId="0" fontId="53" fillId="0" borderId="0" xfId="0" applyFont="1" applyAlignment="1">
      <alignment horizontal="right"/>
    </xf>
    <xf numFmtId="0" fontId="56" fillId="0" borderId="0" xfId="0" applyFont="1" applyAlignment="1">
      <alignment horizontal="right"/>
    </xf>
    <xf numFmtId="0" fontId="48" fillId="0" borderId="0" xfId="0" applyFont="1"/>
    <xf numFmtId="0" fontId="48" fillId="0" borderId="0" xfId="0" applyFont="1" applyAlignment="1">
      <alignment horizontal="right"/>
    </xf>
    <xf numFmtId="0" fontId="66" fillId="0" borderId="0" xfId="0" applyFont="1"/>
    <xf numFmtId="10" fontId="48" fillId="0" borderId="0" xfId="0" applyNumberFormat="1" applyFont="1" applyAlignment="1">
      <alignment horizontal="right"/>
    </xf>
    <xf numFmtId="14" fontId="48" fillId="0" borderId="0" xfId="0" applyNumberFormat="1" applyFont="1" applyAlignment="1">
      <alignment horizontal="right"/>
    </xf>
    <xf numFmtId="164" fontId="48" fillId="0" borderId="0" xfId="0" applyNumberFormat="1" applyFont="1" applyAlignment="1">
      <alignment horizontal="right"/>
    </xf>
    <xf numFmtId="0" fontId="49" fillId="0" borderId="0" xfId="0" applyFont="1"/>
    <xf numFmtId="171" fontId="49" fillId="0" borderId="0" xfId="0" applyNumberFormat="1" applyFont="1" applyAlignment="1">
      <alignment horizontal="right"/>
    </xf>
    <xf numFmtId="171" fontId="48" fillId="0" borderId="0" xfId="0" applyNumberFormat="1" applyFont="1" applyAlignment="1">
      <alignment horizontal="right"/>
    </xf>
    <xf numFmtId="10" fontId="48" fillId="0" borderId="0" xfId="0" applyNumberFormat="1" applyFont="1"/>
    <xf numFmtId="0" fontId="83" fillId="0" borderId="37" xfId="0" applyFont="1" applyBorder="1"/>
    <xf numFmtId="0" fontId="51" fillId="0" borderId="37" xfId="0" applyFont="1" applyBorder="1"/>
    <xf numFmtId="0" fontId="51" fillId="0" borderId="0" xfId="0" applyFont="1"/>
    <xf numFmtId="49" fontId="51" fillId="0" borderId="37" xfId="0" applyNumberFormat="1" applyFont="1" applyBorder="1"/>
    <xf numFmtId="169" fontId="51" fillId="0" borderId="0" xfId="0" applyNumberFormat="1" applyFont="1"/>
    <xf numFmtId="0" fontId="51" fillId="0" borderId="38" xfId="0" applyFont="1" applyBorder="1"/>
    <xf numFmtId="0" fontId="51" fillId="0" borderId="39" xfId="0" applyFont="1" applyBorder="1"/>
    <xf numFmtId="0" fontId="51" fillId="12" borderId="39" xfId="0" applyFont="1" applyFill="1" applyBorder="1" applyAlignment="1">
      <alignment horizontal="right"/>
    </xf>
    <xf numFmtId="49" fontId="51" fillId="0" borderId="39" xfId="0" applyNumberFormat="1" applyFont="1" applyBorder="1"/>
    <xf numFmtId="169" fontId="51" fillId="0" borderId="40" xfId="0" applyNumberFormat="1" applyFont="1" applyBorder="1"/>
    <xf numFmtId="169" fontId="51" fillId="0" borderId="39" xfId="0" applyNumberFormat="1" applyFont="1" applyBorder="1"/>
    <xf numFmtId="0" fontId="44" fillId="0" borderId="39" xfId="0" applyFont="1" applyBorder="1" applyAlignment="1">
      <alignment horizontal="right"/>
    </xf>
    <xf numFmtId="49" fontId="44" fillId="0" borderId="39" xfId="0" applyNumberFormat="1" applyFont="1" applyBorder="1"/>
    <xf numFmtId="0" fontId="44" fillId="0" borderId="39" xfId="0" applyFont="1" applyBorder="1"/>
    <xf numFmtId="0" fontId="84" fillId="0" borderId="41" xfId="0" applyFont="1" applyBorder="1"/>
    <xf numFmtId="49" fontId="47" fillId="0" borderId="31" xfId="0" applyNumberFormat="1" applyFont="1" applyBorder="1"/>
    <xf numFmtId="164" fontId="45" fillId="34" borderId="28" xfId="0" applyNumberFormat="1" applyFont="1" applyFill="1" applyBorder="1" applyAlignment="1">
      <alignment horizontal="left" vertical="center"/>
    </xf>
    <xf numFmtId="164" fontId="40" fillId="25" borderId="43" xfId="0" applyNumberFormat="1" applyFont="1" applyFill="1" applyBorder="1" applyAlignment="1">
      <alignment horizontal="left" vertical="center"/>
    </xf>
    <xf numFmtId="164" fontId="56" fillId="0" borderId="16" xfId="0" applyNumberFormat="1" applyFont="1" applyBorder="1" applyAlignment="1">
      <alignment vertical="center"/>
    </xf>
    <xf numFmtId="164" fontId="56" fillId="0" borderId="49" xfId="0" applyNumberFormat="1" applyFont="1" applyBorder="1" applyAlignment="1">
      <alignment horizontal="left" vertical="center"/>
    </xf>
    <xf numFmtId="44" fontId="68" fillId="0" borderId="0" xfId="0" applyNumberFormat="1" applyFont="1" applyAlignment="1">
      <alignment vertical="center"/>
    </xf>
    <xf numFmtId="44" fontId="57" fillId="20" borderId="29" xfId="0" applyNumberFormat="1" applyFont="1" applyFill="1" applyBorder="1" applyAlignment="1">
      <alignment vertical="center"/>
    </xf>
    <xf numFmtId="44" fontId="56" fillId="0" borderId="16" xfId="0" applyNumberFormat="1" applyFont="1" applyBorder="1" applyAlignment="1">
      <alignment vertical="center"/>
    </xf>
    <xf numFmtId="44" fontId="69" fillId="24" borderId="50" xfId="0" applyNumberFormat="1" applyFont="1" applyFill="1" applyBorder="1" applyAlignment="1">
      <alignment vertical="center"/>
    </xf>
    <xf numFmtId="164" fontId="43" fillId="27" borderId="48" xfId="0" applyNumberFormat="1" applyFont="1" applyFill="1" applyBorder="1" applyAlignment="1">
      <alignment horizontal="center" vertical="center"/>
    </xf>
    <xf numFmtId="164" fontId="43" fillId="27" borderId="44" xfId="0" applyNumberFormat="1" applyFont="1" applyFill="1" applyBorder="1" applyAlignment="1">
      <alignment horizontal="center" vertical="center"/>
    </xf>
    <xf numFmtId="0" fontId="40" fillId="27" borderId="42" xfId="0" applyFont="1" applyFill="1" applyBorder="1" applyAlignment="1">
      <alignment vertical="center"/>
    </xf>
    <xf numFmtId="10" fontId="56" fillId="0" borderId="64" xfId="0" applyNumberFormat="1" applyFont="1" applyBorder="1" applyAlignment="1">
      <alignment horizontal="left" vertical="center" wrapText="1"/>
    </xf>
    <xf numFmtId="0" fontId="56" fillId="0" borderId="64" xfId="0" applyFont="1" applyBorder="1" applyAlignment="1">
      <alignment vertical="center"/>
    </xf>
    <xf numFmtId="164" fontId="45" fillId="29" borderId="42" xfId="0" applyNumberFormat="1" applyFont="1" applyFill="1" applyBorder="1" applyAlignment="1">
      <alignment horizontal="left" vertical="center"/>
    </xf>
    <xf numFmtId="174" fontId="67" fillId="23" borderId="44" xfId="0" applyNumberFormat="1" applyFont="1" applyFill="1" applyBorder="1" applyAlignment="1">
      <alignment horizontal="right" vertical="center"/>
    </xf>
    <xf numFmtId="168" fontId="56" fillId="0" borderId="0" xfId="0" applyNumberFormat="1" applyFont="1" applyAlignment="1">
      <alignment horizontal="right"/>
    </xf>
    <xf numFmtId="174" fontId="56" fillId="0" borderId="0" xfId="0" applyNumberFormat="1" applyFont="1" applyAlignment="1">
      <alignment horizontal="right"/>
    </xf>
    <xf numFmtId="44" fontId="56" fillId="0" borderId="0" xfId="0" quotePrefix="1" applyNumberFormat="1" applyFont="1" applyAlignment="1">
      <alignment horizontal="right" vertical="center"/>
    </xf>
    <xf numFmtId="44" fontId="56" fillId="0" borderId="0" xfId="0" applyNumberFormat="1" applyFont="1" applyAlignment="1">
      <alignment horizontal="right" vertical="center"/>
    </xf>
    <xf numFmtId="44" fontId="56" fillId="0" borderId="52" xfId="0" applyNumberFormat="1" applyFont="1" applyBorder="1" applyAlignment="1">
      <alignment horizontal="right" vertical="center"/>
    </xf>
    <xf numFmtId="44" fontId="44" fillId="0" borderId="0" xfId="0" applyNumberFormat="1" applyFont="1" applyAlignment="1">
      <alignment horizontal="right" vertical="center"/>
    </xf>
    <xf numFmtId="44" fontId="44" fillId="0" borderId="52" xfId="0" applyNumberFormat="1" applyFont="1" applyBorder="1" applyAlignment="1">
      <alignment horizontal="right" vertical="center"/>
    </xf>
    <xf numFmtId="44" fontId="67" fillId="23" borderId="48" xfId="0" applyNumberFormat="1" applyFont="1" applyFill="1" applyBorder="1" applyAlignment="1">
      <alignment horizontal="right" vertical="center"/>
    </xf>
    <xf numFmtId="44" fontId="67" fillId="23" borderId="44" xfId="0" applyNumberFormat="1" applyFont="1" applyFill="1" applyBorder="1" applyAlignment="1">
      <alignment horizontal="right" vertical="center"/>
    </xf>
    <xf numFmtId="164" fontId="56" fillId="0" borderId="48" xfId="0" applyNumberFormat="1" applyFont="1" applyBorder="1" applyAlignment="1">
      <alignment horizontal="right" wrapText="1"/>
    </xf>
    <xf numFmtId="3" fontId="40" fillId="0" borderId="42" xfId="0" applyNumberFormat="1" applyFont="1" applyBorder="1" applyAlignment="1">
      <alignment horizontal="center"/>
    </xf>
    <xf numFmtId="164" fontId="45" fillId="0" borderId="0" xfId="0" applyNumberFormat="1" applyFont="1" applyAlignment="1">
      <alignment horizontal="left"/>
    </xf>
    <xf numFmtId="168" fontId="60" fillId="0" borderId="0" xfId="0" applyNumberFormat="1" applyFont="1" applyAlignment="1">
      <alignment horizontal="center"/>
    </xf>
    <xf numFmtId="0" fontId="88" fillId="0" borderId="0" xfId="0" applyFont="1"/>
    <xf numFmtId="164" fontId="56" fillId="0" borderId="51" xfId="0" applyNumberFormat="1" applyFont="1" applyBorder="1" applyAlignment="1">
      <alignment horizontal="left" vertical="center"/>
    </xf>
    <xf numFmtId="44" fontId="69" fillId="24" borderId="52" xfId="0" applyNumberFormat="1" applyFont="1" applyFill="1" applyBorder="1" applyAlignment="1">
      <alignment vertical="center"/>
    </xf>
    <xf numFmtId="164" fontId="40" fillId="27" borderId="51" xfId="0" applyNumberFormat="1" applyFont="1" applyFill="1" applyBorder="1" applyAlignment="1">
      <alignment horizontal="left" vertical="center"/>
    </xf>
    <xf numFmtId="44" fontId="57" fillId="20" borderId="52" xfId="0" applyNumberFormat="1" applyFont="1" applyFill="1" applyBorder="1" applyAlignment="1">
      <alignment vertical="center"/>
    </xf>
    <xf numFmtId="44" fontId="68" fillId="25" borderId="52" xfId="0" applyNumberFormat="1" applyFont="1" applyFill="1" applyBorder="1" applyAlignment="1">
      <alignment vertical="center"/>
    </xf>
    <xf numFmtId="164" fontId="45" fillId="34" borderId="45" xfId="0" applyNumberFormat="1" applyFont="1" applyFill="1" applyBorder="1" applyAlignment="1">
      <alignment horizontal="left" vertical="center"/>
    </xf>
    <xf numFmtId="44" fontId="57" fillId="20" borderId="46" xfId="0" applyNumberFormat="1" applyFont="1" applyFill="1" applyBorder="1" applyAlignment="1">
      <alignment vertical="center"/>
    </xf>
    <xf numFmtId="10" fontId="71" fillId="0" borderId="0" xfId="1" applyNumberFormat="1" applyFont="1" applyAlignment="1">
      <alignment horizontal="right" vertical="center"/>
    </xf>
    <xf numFmtId="164" fontId="87" fillId="0" borderId="0" xfId="0" applyNumberFormat="1" applyFont="1" applyAlignment="1">
      <alignment vertical="top" wrapText="1"/>
    </xf>
    <xf numFmtId="0" fontId="56" fillId="0" borderId="0" xfId="0" applyFont="1" applyAlignment="1">
      <alignment horizontal="center" vertical="center"/>
    </xf>
    <xf numFmtId="175" fontId="57" fillId="0" borderId="0" xfId="0" applyNumberFormat="1" applyFont="1" applyAlignment="1">
      <alignment horizontal="center" vertical="center" wrapText="1"/>
    </xf>
    <xf numFmtId="164" fontId="43" fillId="27" borderId="42" xfId="0" applyNumberFormat="1" applyFont="1" applyFill="1" applyBorder="1" applyAlignment="1">
      <alignment horizontal="center" vertical="center"/>
    </xf>
    <xf numFmtId="164" fontId="40" fillId="0" borderId="42" xfId="0" applyNumberFormat="1" applyFont="1" applyBorder="1" applyAlignment="1">
      <alignment horizontal="right" wrapText="1"/>
    </xf>
    <xf numFmtId="164" fontId="89" fillId="35" borderId="42" xfId="0" applyNumberFormat="1" applyFont="1" applyFill="1" applyBorder="1" applyAlignment="1">
      <alignment horizontal="center" vertical="center"/>
    </xf>
    <xf numFmtId="0" fontId="70" fillId="31" borderId="45" xfId="0" applyFont="1" applyFill="1" applyBorder="1"/>
    <xf numFmtId="0" fontId="56" fillId="31" borderId="65" xfId="0" applyFont="1" applyFill="1" applyBorder="1"/>
    <xf numFmtId="0" fontId="56" fillId="31" borderId="46" xfId="0" applyFont="1" applyFill="1" applyBorder="1"/>
    <xf numFmtId="0" fontId="70" fillId="31" borderId="43" xfId="0" applyFont="1" applyFill="1" applyBorder="1"/>
    <xf numFmtId="0" fontId="56" fillId="31" borderId="48" xfId="0" applyFont="1" applyFill="1" applyBorder="1"/>
    <xf numFmtId="0" fontId="56" fillId="31" borderId="44" xfId="0" applyFont="1" applyFill="1" applyBorder="1"/>
    <xf numFmtId="164" fontId="72" fillId="32" borderId="43" xfId="0" applyNumberFormat="1" applyFont="1" applyFill="1" applyBorder="1" applyAlignment="1">
      <alignment vertical="center"/>
    </xf>
    <xf numFmtId="164" fontId="60" fillId="33" borderId="48" xfId="0" applyNumberFormat="1" applyFont="1" applyFill="1" applyBorder="1" applyAlignment="1">
      <alignment vertical="center"/>
    </xf>
    <xf numFmtId="0" fontId="60" fillId="33" borderId="44" xfId="0" applyFont="1" applyFill="1" applyBorder="1"/>
    <xf numFmtId="164" fontId="61" fillId="6" borderId="0" xfId="0" applyNumberFormat="1" applyFont="1" applyFill="1" applyAlignment="1">
      <alignment vertical="center" wrapText="1"/>
    </xf>
    <xf numFmtId="0" fontId="40" fillId="36" borderId="43" xfId="0" applyFont="1" applyFill="1" applyBorder="1" applyAlignment="1">
      <alignment vertical="center"/>
    </xf>
    <xf numFmtId="0" fontId="40" fillId="36" borderId="45" xfId="0" applyFont="1" applyFill="1" applyBorder="1" applyAlignment="1">
      <alignment vertical="center"/>
    </xf>
    <xf numFmtId="167" fontId="56" fillId="0" borderId="0" xfId="0" applyNumberFormat="1" applyFont="1" applyAlignment="1">
      <alignment vertical="center"/>
    </xf>
    <xf numFmtId="164" fontId="56" fillId="0" borderId="66" xfId="0" applyNumberFormat="1" applyFont="1" applyBorder="1" applyAlignment="1">
      <alignment horizontal="left" vertical="center"/>
    </xf>
    <xf numFmtId="164" fontId="60" fillId="6" borderId="0" xfId="0" applyNumberFormat="1" applyFont="1" applyFill="1" applyAlignment="1">
      <alignment horizontal="center" vertical="center" wrapText="1"/>
    </xf>
    <xf numFmtId="44" fontId="68" fillId="0" borderId="67" xfId="0" applyNumberFormat="1" applyFont="1" applyBorder="1" applyAlignment="1">
      <alignment vertical="center"/>
    </xf>
    <xf numFmtId="164" fontId="92" fillId="0" borderId="0" xfId="2" applyNumberFormat="1" applyAlignment="1">
      <alignment vertical="top" wrapText="1"/>
    </xf>
    <xf numFmtId="172" fontId="45" fillId="37" borderId="55" xfId="0" applyNumberFormat="1" applyFont="1" applyFill="1" applyBorder="1" applyAlignment="1">
      <alignment vertical="center"/>
    </xf>
    <xf numFmtId="0" fontId="82" fillId="0" borderId="0" xfId="0" applyFont="1" applyAlignment="1">
      <alignment vertical="top" wrapText="1"/>
    </xf>
    <xf numFmtId="0" fontId="95" fillId="0" borderId="0" xfId="0" applyFont="1"/>
    <xf numFmtId="164" fontId="43" fillId="28" borderId="44" xfId="0" applyNumberFormat="1" applyFont="1" applyFill="1" applyBorder="1" applyAlignment="1" applyProtection="1">
      <alignment horizontal="center" vertical="center" wrapText="1"/>
      <protection locked="0"/>
    </xf>
    <xf numFmtId="166" fontId="43" fillId="28" borderId="46" xfId="0" applyNumberFormat="1" applyFont="1" applyFill="1" applyBorder="1" applyAlignment="1" applyProtection="1">
      <alignment horizontal="center" vertical="center" wrapText="1"/>
      <protection locked="0"/>
    </xf>
    <xf numFmtId="164" fontId="43" fillId="26" borderId="58" xfId="0" applyNumberFormat="1" applyFont="1" applyFill="1" applyBorder="1" applyAlignment="1" applyProtection="1">
      <alignment horizontal="center" vertical="center"/>
      <protection locked="0"/>
    </xf>
    <xf numFmtId="164" fontId="43" fillId="22" borderId="47" xfId="0" applyNumberFormat="1" applyFont="1" applyFill="1" applyBorder="1" applyAlignment="1" applyProtection="1">
      <alignment horizontal="center" vertical="center"/>
      <protection locked="0"/>
    </xf>
    <xf numFmtId="4" fontId="43" fillId="22" borderId="61" xfId="0" applyNumberFormat="1" applyFont="1" applyFill="1" applyBorder="1" applyAlignment="1" applyProtection="1">
      <alignment horizontal="center" vertical="center"/>
      <protection locked="0"/>
    </xf>
    <xf numFmtId="167" fontId="43" fillId="22" borderId="47" xfId="0" applyNumberFormat="1" applyFont="1" applyFill="1" applyBorder="1" applyAlignment="1" applyProtection="1">
      <alignment horizontal="center" vertical="center"/>
      <protection locked="0"/>
    </xf>
    <xf numFmtId="10" fontId="44" fillId="22" borderId="9" xfId="0" applyNumberFormat="1" applyFont="1" applyFill="1" applyBorder="1" applyAlignment="1" applyProtection="1">
      <alignment horizontal="center" vertical="center"/>
      <protection locked="0"/>
    </xf>
    <xf numFmtId="10" fontId="44" fillId="22" borderId="11" xfId="0" applyNumberFormat="1" applyFont="1" applyFill="1" applyBorder="1" applyAlignment="1" applyProtection="1">
      <alignment horizontal="center" vertical="center"/>
      <protection locked="0"/>
    </xf>
    <xf numFmtId="10" fontId="44" fillId="22" borderId="62" xfId="0" applyNumberFormat="1" applyFont="1" applyFill="1" applyBorder="1" applyAlignment="1" applyProtection="1">
      <alignment horizontal="center" vertical="center"/>
      <protection locked="0"/>
    </xf>
    <xf numFmtId="172" fontId="94" fillId="38" borderId="68" xfId="0" applyNumberFormat="1" applyFont="1" applyFill="1" applyBorder="1" applyAlignment="1" applyProtection="1">
      <alignment vertical="center"/>
      <protection locked="0"/>
    </xf>
    <xf numFmtId="10" fontId="44" fillId="22" borderId="42" xfId="0" applyNumberFormat="1" applyFont="1" applyFill="1" applyBorder="1" applyAlignment="1" applyProtection="1">
      <alignment horizontal="center" vertical="center"/>
      <protection locked="0"/>
    </xf>
    <xf numFmtId="167" fontId="44" fillId="22" borderId="64" xfId="0" applyNumberFormat="1" applyFont="1" applyFill="1" applyBorder="1" applyAlignment="1" applyProtection="1">
      <alignment horizontal="center" vertical="center"/>
      <protection locked="0"/>
    </xf>
    <xf numFmtId="167" fontId="44" fillId="22" borderId="53" xfId="0" applyNumberFormat="1" applyFont="1" applyFill="1" applyBorder="1" applyAlignment="1" applyProtection="1">
      <alignment horizontal="center" vertical="center"/>
      <protection locked="0"/>
    </xf>
    <xf numFmtId="10" fontId="44" fillId="22" borderId="44" xfId="0" applyNumberFormat="1" applyFont="1" applyFill="1" applyBorder="1" applyAlignment="1" applyProtection="1">
      <alignment horizontal="center" vertical="center"/>
      <protection locked="0"/>
    </xf>
    <xf numFmtId="173" fontId="56" fillId="22" borderId="50" xfId="0" applyNumberFormat="1" applyFont="1" applyFill="1" applyBorder="1" applyAlignment="1" applyProtection="1">
      <alignment horizontal="center" vertical="center"/>
      <protection locked="0"/>
    </xf>
    <xf numFmtId="10" fontId="56" fillId="22" borderId="52" xfId="0" applyNumberFormat="1" applyFont="1" applyFill="1" applyBorder="1" applyAlignment="1" applyProtection="1">
      <alignment horizontal="center" vertical="center"/>
      <protection locked="0"/>
    </xf>
    <xf numFmtId="10" fontId="56" fillId="22" borderId="46" xfId="0" applyNumberFormat="1" applyFont="1" applyFill="1" applyBorder="1" applyAlignment="1" applyProtection="1">
      <alignment horizontal="center" vertical="center"/>
      <protection locked="0"/>
    </xf>
    <xf numFmtId="10" fontId="56" fillId="22" borderId="54" xfId="0" applyNumberFormat="1" applyFont="1" applyFill="1" applyBorder="1" applyAlignment="1" applyProtection="1">
      <alignment horizontal="center" vertical="center"/>
      <protection locked="0"/>
    </xf>
    <xf numFmtId="10" fontId="56" fillId="22" borderId="53" xfId="0" applyNumberFormat="1" applyFont="1" applyFill="1" applyBorder="1" applyAlignment="1" applyProtection="1">
      <alignment horizontal="center" vertical="center"/>
      <protection locked="0"/>
    </xf>
    <xf numFmtId="10" fontId="56" fillId="22" borderId="64" xfId="0" applyNumberFormat="1" applyFont="1" applyFill="1" applyBorder="1" applyAlignment="1" applyProtection="1">
      <alignment horizontal="center" vertical="center"/>
      <protection locked="0"/>
    </xf>
    <xf numFmtId="174" fontId="56" fillId="0" borderId="0" xfId="0" applyNumberFormat="1" applyFont="1"/>
    <xf numFmtId="164" fontId="91" fillId="0" borderId="0" xfId="0" applyNumberFormat="1" applyFont="1" applyAlignment="1">
      <alignment vertical="center" wrapText="1"/>
    </xf>
    <xf numFmtId="0" fontId="90" fillId="0" borderId="0" xfId="0" applyFont="1"/>
    <xf numFmtId="0" fontId="97" fillId="0" borderId="0" xfId="2" applyFont="1" applyAlignment="1" applyProtection="1">
      <alignment horizontal="left" vertical="center"/>
      <protection locked="0"/>
    </xf>
    <xf numFmtId="0" fontId="50" fillId="5" borderId="15" xfId="0" applyFont="1" applyFill="1" applyBorder="1" applyAlignment="1">
      <alignment horizontal="center" vertical="center"/>
    </xf>
    <xf numFmtId="0" fontId="50" fillId="5" borderId="16" xfId="0" applyFont="1" applyFill="1" applyBorder="1" applyAlignment="1">
      <alignment horizontal="center" vertical="center"/>
    </xf>
    <xf numFmtId="0" fontId="50" fillId="5" borderId="17" xfId="0" applyFont="1" applyFill="1" applyBorder="1" applyAlignment="1">
      <alignment horizontal="center" vertical="center"/>
    </xf>
    <xf numFmtId="0" fontId="50" fillId="5" borderId="19" xfId="0" applyFont="1" applyFill="1" applyBorder="1" applyAlignment="1">
      <alignment horizontal="center" vertical="center"/>
    </xf>
    <xf numFmtId="0" fontId="50" fillId="5" borderId="20" xfId="0" applyFont="1" applyFill="1" applyBorder="1" applyAlignment="1">
      <alignment horizontal="center" vertical="center"/>
    </xf>
    <xf numFmtId="0" fontId="50" fillId="5" borderId="21" xfId="0" applyFont="1" applyFill="1" applyBorder="1" applyAlignment="1">
      <alignment horizontal="center" vertical="center"/>
    </xf>
    <xf numFmtId="0" fontId="45" fillId="35" borderId="43" xfId="0" applyFont="1" applyFill="1" applyBorder="1" applyAlignment="1">
      <alignment horizontal="center"/>
    </xf>
    <xf numFmtId="0" fontId="45" fillId="35" borderId="48" xfId="0" applyFont="1" applyFill="1" applyBorder="1" applyAlignment="1">
      <alignment horizontal="center"/>
    </xf>
    <xf numFmtId="0" fontId="45" fillId="35" borderId="44" xfId="0" applyFont="1" applyFill="1" applyBorder="1" applyAlignment="1">
      <alignment horizontal="center"/>
    </xf>
    <xf numFmtId="164" fontId="43" fillId="26" borderId="69" xfId="0" applyNumberFormat="1" applyFont="1" applyFill="1" applyBorder="1" applyAlignment="1">
      <alignment horizontal="center" vertical="center"/>
    </xf>
    <xf numFmtId="164" fontId="43" fillId="26" borderId="70" xfId="0" applyNumberFormat="1" applyFont="1" applyFill="1" applyBorder="1" applyAlignment="1">
      <alignment horizontal="center" vertical="center"/>
    </xf>
    <xf numFmtId="164" fontId="43" fillId="26" borderId="71" xfId="0" applyNumberFormat="1" applyFont="1" applyFill="1" applyBorder="1" applyAlignment="1">
      <alignment horizontal="center" vertical="center"/>
    </xf>
    <xf numFmtId="164" fontId="43" fillId="26" borderId="72" xfId="0" applyNumberFormat="1" applyFont="1" applyFill="1" applyBorder="1" applyAlignment="1">
      <alignment horizontal="center" vertical="center"/>
    </xf>
    <xf numFmtId="0" fontId="75" fillId="0" borderId="0" xfId="0" applyFont="1" applyAlignment="1">
      <alignment horizontal="left" vertical="center" wrapText="1"/>
    </xf>
    <xf numFmtId="164" fontId="93" fillId="0" borderId="0" xfId="2" applyNumberFormat="1" applyFont="1" applyAlignment="1">
      <alignment horizontal="left" vertical="center" wrapText="1"/>
    </xf>
    <xf numFmtId="0" fontId="50" fillId="5" borderId="1" xfId="0" applyFont="1" applyFill="1" applyBorder="1" applyAlignment="1">
      <alignment horizontal="center" vertical="center"/>
    </xf>
    <xf numFmtId="0" fontId="50" fillId="5" borderId="2" xfId="0" applyFont="1" applyFill="1" applyBorder="1" applyAlignment="1">
      <alignment horizontal="center" vertical="center"/>
    </xf>
    <xf numFmtId="0" fontId="50" fillId="5" borderId="3" xfId="0" applyFont="1" applyFill="1" applyBorder="1" applyAlignment="1">
      <alignment horizontal="center" vertical="center"/>
    </xf>
    <xf numFmtId="164" fontId="98" fillId="0" borderId="0" xfId="2" applyNumberFormat="1" applyFont="1" applyAlignment="1">
      <alignment horizontal="left" wrapText="1"/>
    </xf>
    <xf numFmtId="164" fontId="98" fillId="0" borderId="0" xfId="2" applyNumberFormat="1" applyFont="1" applyAlignment="1">
      <alignment horizontal="left" vertical="top" wrapText="1"/>
    </xf>
    <xf numFmtId="0" fontId="1" fillId="2" borderId="0" xfId="0" applyFont="1" applyFill="1"/>
    <xf numFmtId="0" fontId="0" fillId="0" borderId="0" xfId="0"/>
    <xf numFmtId="0" fontId="4" fillId="0" borderId="0" xfId="0" applyFont="1" applyAlignment="1">
      <alignment wrapText="1"/>
    </xf>
    <xf numFmtId="168" fontId="16" fillId="7" borderId="20" xfId="0" applyNumberFormat="1" applyFont="1" applyFill="1" applyBorder="1" applyAlignment="1">
      <alignment horizontal="center"/>
    </xf>
    <xf numFmtId="0" fontId="8" fillId="0" borderId="20" xfId="0" applyFont="1" applyBorder="1"/>
    <xf numFmtId="0" fontId="8" fillId="0" borderId="21" xfId="0" applyFont="1" applyBorder="1"/>
    <xf numFmtId="164" fontId="3" fillId="0" borderId="0" xfId="0" applyNumberFormat="1" applyFont="1" applyAlignment="1">
      <alignment vertical="center"/>
    </xf>
    <xf numFmtId="0" fontId="17" fillId="5" borderId="15" xfId="0" applyFont="1" applyFill="1" applyBorder="1" applyAlignment="1">
      <alignment horizontal="center" vertical="center"/>
    </xf>
    <xf numFmtId="0" fontId="8" fillId="0" borderId="16" xfId="0" applyFont="1" applyBorder="1"/>
    <xf numFmtId="0" fontId="8" fillId="0" borderId="17" xfId="0" applyFont="1" applyBorder="1"/>
    <xf numFmtId="0" fontId="8" fillId="0" borderId="19" xfId="0" applyFont="1" applyBorder="1"/>
    <xf numFmtId="164" fontId="23" fillId="5" borderId="0" xfId="0" applyNumberFormat="1" applyFont="1" applyFill="1" applyAlignment="1">
      <alignment horizontal="center" vertical="center"/>
    </xf>
    <xf numFmtId="164" fontId="24" fillId="6" borderId="0" xfId="0" applyNumberFormat="1" applyFont="1" applyFill="1" applyAlignment="1">
      <alignment horizontal="center" vertical="center" wrapText="1"/>
    </xf>
    <xf numFmtId="10" fontId="28" fillId="0" borderId="0" xfId="0" applyNumberFormat="1" applyFont="1" applyAlignment="1">
      <alignment horizontal="center" vertical="center" wrapText="1"/>
    </xf>
    <xf numFmtId="164" fontId="5" fillId="7" borderId="2" xfId="0" applyNumberFormat="1" applyFont="1" applyFill="1" applyBorder="1" applyAlignment="1">
      <alignment horizontal="center" wrapText="1"/>
    </xf>
    <xf numFmtId="0" fontId="8" fillId="0" borderId="2" xfId="0" applyFont="1" applyBorder="1"/>
    <xf numFmtId="0" fontId="8" fillId="0" borderId="3" xfId="0" applyFont="1" applyBorder="1"/>
    <xf numFmtId="164" fontId="31" fillId="6" borderId="0" xfId="0" applyNumberFormat="1" applyFont="1" applyFill="1" applyAlignment="1">
      <alignment horizontal="center" vertical="center" wrapText="1"/>
    </xf>
    <xf numFmtId="0" fontId="17" fillId="5" borderId="1" xfId="0" applyFont="1" applyFill="1" applyBorder="1" applyAlignment="1">
      <alignment horizontal="center" vertical="center"/>
    </xf>
    <xf numFmtId="164" fontId="7" fillId="4" borderId="2" xfId="0" applyNumberFormat="1" applyFont="1" applyFill="1" applyBorder="1" applyAlignment="1">
      <alignment vertical="center"/>
    </xf>
    <xf numFmtId="0" fontId="20" fillId="5" borderId="0" xfId="0" applyFont="1" applyFill="1" applyAlignment="1">
      <alignment horizontal="center" vertical="center"/>
    </xf>
    <xf numFmtId="0" fontId="75" fillId="12" borderId="0" xfId="0" applyFont="1" applyFill="1" applyAlignment="1">
      <alignment horizontal="left" vertical="top"/>
    </xf>
    <xf numFmtId="0" fontId="53" fillId="0" borderId="0" xfId="0" applyFont="1"/>
    <xf numFmtId="0" fontId="54" fillId="2" borderId="0" xfId="0" applyFont="1" applyFill="1" applyAlignment="1">
      <alignment horizontal="center"/>
    </xf>
    <xf numFmtId="0" fontId="55" fillId="0" borderId="34" xfId="0" applyFont="1" applyBorder="1"/>
    <xf numFmtId="0" fontId="55" fillId="0" borderId="30" xfId="0" applyFont="1" applyBorder="1"/>
    <xf numFmtId="10" fontId="82" fillId="0" borderId="0" xfId="0" applyNumberFormat="1" applyFont="1" applyAlignment="1">
      <alignment vertical="top" wrapText="1"/>
    </xf>
    <xf numFmtId="0" fontId="54" fillId="2" borderId="35" xfId="0" applyFont="1" applyFill="1" applyBorder="1" applyAlignment="1">
      <alignment horizontal="center"/>
    </xf>
  </cellXfs>
  <cellStyles count="3">
    <cellStyle name="Link" xfId="2" builtinId="8"/>
    <cellStyle name="Prozent" xfId="1" builtinId="5"/>
    <cellStyle name="Standard" xfId="0" builtinId="0"/>
  </cellStyles>
  <dxfs count="10">
    <dxf>
      <font>
        <color rgb="FF00B050"/>
      </font>
      <fill>
        <patternFill>
          <bgColor theme="6" tint="0.79998168889431442"/>
        </patternFill>
      </fill>
    </dxf>
    <dxf>
      <font>
        <color rgb="FFFF0000"/>
      </font>
      <fill>
        <patternFill>
          <bgColor theme="5" tint="0.79998168889431442"/>
        </patternFill>
      </fill>
    </dxf>
    <dxf>
      <font>
        <color rgb="FFFF0000"/>
      </font>
      <fill>
        <patternFill>
          <bgColor theme="5" tint="0.79998168889431442"/>
        </patternFill>
      </fill>
    </dxf>
    <dxf>
      <font>
        <color rgb="FF00B050"/>
      </font>
      <fill>
        <patternFill>
          <bgColor rgb="FFF2F6EA"/>
        </patternFill>
      </fill>
    </dxf>
    <dxf>
      <font>
        <color rgb="FFFF0000"/>
      </font>
      <fill>
        <patternFill>
          <bgColor theme="5" tint="0.79998168889431442"/>
        </patternFill>
      </fill>
    </dxf>
    <dxf>
      <font>
        <color rgb="FF00B050"/>
      </font>
      <fill>
        <patternFill>
          <bgColor rgb="FFF2F6EA"/>
        </patternFill>
      </fill>
    </dxf>
    <dxf>
      <font>
        <color rgb="FFFF0000"/>
      </font>
      <fill>
        <patternFill>
          <bgColor theme="5" tint="0.79998168889431442"/>
        </patternFill>
      </fill>
    </dxf>
    <dxf>
      <font>
        <color rgb="FF00B050"/>
      </font>
      <fill>
        <patternFill>
          <bgColor rgb="FFF2F6EA"/>
        </patternFill>
      </fill>
    </dxf>
    <dxf>
      <font>
        <color rgb="FFFF0000"/>
      </font>
      <fill>
        <patternFill>
          <bgColor theme="5" tint="0.79998168889431442"/>
        </patternFill>
      </fill>
    </dxf>
    <dxf>
      <font>
        <color rgb="FF00B050"/>
      </font>
      <fill>
        <patternFill>
          <bgColor rgb="FFF2F6EA"/>
        </patternFill>
      </fill>
    </dxf>
  </dxfs>
  <tableStyles count="0" defaultTableStyle="TableStyleMedium2" defaultPivotStyle="PivotStyleLight16"/>
  <colors>
    <mruColors>
      <color rgb="FFFFFFCC"/>
      <color rgb="FFF6E7E6"/>
      <color rgb="FFF2F6E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customschemas.google.com/relationships/workbookmetadata" Target="metadata"/><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7"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8</xdr:col>
      <xdr:colOff>45720</xdr:colOff>
      <xdr:row>35</xdr:row>
      <xdr:rowOff>161926</xdr:rowOff>
    </xdr:from>
    <xdr:to>
      <xdr:col>9</xdr:col>
      <xdr:colOff>973455</xdr:colOff>
      <xdr:row>37</xdr:row>
      <xdr:rowOff>59400</xdr:rowOff>
    </xdr:to>
    <xdr:pic>
      <xdr:nvPicPr>
        <xdr:cNvPr id="2" name="Grafik 1" descr="timvestment-logo-full-color-pos">
          <a:extLst>
            <a:ext uri="{FF2B5EF4-FFF2-40B4-BE49-F238E27FC236}">
              <a16:creationId xmlns:a16="http://schemas.microsoft.com/office/drawing/2014/main" id="{73FDCC0F-817D-637C-26AB-9974398FEF0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60945" y="6286501"/>
          <a:ext cx="1992630" cy="3051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28573</xdr:colOff>
      <xdr:row>12</xdr:row>
      <xdr:rowOff>179069</xdr:rowOff>
    </xdr:from>
    <xdr:to>
      <xdr:col>9</xdr:col>
      <xdr:colOff>874394</xdr:colOff>
      <xdr:row>24</xdr:row>
      <xdr:rowOff>91743</xdr:rowOff>
    </xdr:to>
    <xdr:pic>
      <xdr:nvPicPr>
        <xdr:cNvPr id="4" name="Grafik 3">
          <a:extLst>
            <a:ext uri="{FF2B5EF4-FFF2-40B4-BE49-F238E27FC236}">
              <a16:creationId xmlns:a16="http://schemas.microsoft.com/office/drawing/2014/main" id="{B2910700-3B18-DCCE-C913-81C97B45AE83}"/>
            </a:ext>
          </a:extLst>
        </xdr:cNvPr>
        <xdr:cNvPicPr>
          <a:picLocks noChangeAspect="1"/>
        </xdr:cNvPicPr>
      </xdr:nvPicPr>
      <xdr:blipFill>
        <a:blip xmlns:r="http://schemas.openxmlformats.org/officeDocument/2006/relationships" r:embed="rId2"/>
        <a:stretch>
          <a:fillRect/>
        </a:stretch>
      </xdr:blipFill>
      <xdr:spPr>
        <a:xfrm>
          <a:off x="6486523" y="2160269"/>
          <a:ext cx="2960371" cy="2183434"/>
        </a:xfrm>
        <a:prstGeom prst="rect">
          <a:avLst/>
        </a:prstGeom>
        <a:ln>
          <a:solidFill>
            <a:sysClr val="windowText" lastClr="000000"/>
          </a:solidFill>
        </a:ln>
      </xdr:spPr>
    </xdr:pic>
    <xdr:clientData/>
  </xdr:twoCellAnchor>
</xdr:wsDr>
</file>

<file path=xl/drawings/drawing2.xml><?xml version="1.0" encoding="utf-8"?>
<xdr:wsDr xmlns:xdr="http://schemas.openxmlformats.org/drawingml/2006/spreadsheetDrawing" xmlns:a="http://schemas.openxmlformats.org/drawingml/2006/main">
  <xdr:oneCellAnchor>
    <xdr:from>
      <xdr:col>5</xdr:col>
      <xdr:colOff>268605</xdr:colOff>
      <xdr:row>19</xdr:row>
      <xdr:rowOff>131445</xdr:rowOff>
    </xdr:from>
    <xdr:ext cx="7248525" cy="2133600"/>
    <xdr:pic>
      <xdr:nvPicPr>
        <xdr:cNvPr id="2" name="image1.png" title="Bild">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xfrm>
          <a:off x="3983355" y="3474720"/>
          <a:ext cx="7248525" cy="2133600"/>
        </a:xfrm>
        <a:prstGeom prst="rect">
          <a:avLst/>
        </a:prstGeom>
        <a:noFill/>
      </xdr:spPr>
    </xdr:pic>
    <xdr:clientData fLocksWithSheet="0"/>
  </xdr:oneCellAnchor>
</xdr:wsDr>
</file>

<file path=xl/persons/person.xml><?xml version="1.0" encoding="utf-8"?>
<personList xmlns="http://schemas.microsoft.com/office/spreadsheetml/2018/threadedcomments" xmlns:x="http://schemas.openxmlformats.org/spreadsheetml/2006/main">
  <person displayName="Thorsten Illig-Martin" id="{4A99DE8D-CB48-4E14-8B98-F9016449BE75}" userId="bc7a86d9671e19ef" providerId="Windows Live"/>
</personList>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Helvetica Neue"/>
        <a:ea typeface="Helvetica Neue"/>
        <a:cs typeface="Helvetica Neue"/>
      </a:majorFont>
      <a:minorFont>
        <a:latin typeface="Helvetica Neue"/>
        <a:ea typeface="Helvetica Neue"/>
        <a:cs typeface="Helvetica Neu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C17" dT="2024-09-17T16:24:24.97" personId="{4A99DE8D-CB48-4E14-8B98-F9016449BE75}" id="{3C3E9C40-955F-4A89-90EC-B4B6F9E7EF12}">
    <text xml:space="preserve">Bundesland
Grunderwerbsteuer
Baden-Württemberg 5,0 %
Bayern 3,5 %
Berlin 6,0 %
Brandenburg 6,5 %
Bremen 5,0 %
Hamburg 4,5 %
Hessen 6,0 %
Mecklenburg-Vorpommern 6,0 %Niedersachsen 5,0 %
Nordrhein-Westfalen 6,5 %
Rheinland-Pfalz 5,0 %
Saarland 6,5 %
Sachsen 3,5 %
Sachsen-Anhalt 5,0 %
Schleswig-Holstein 6,5 %
Thüringen 6,5 % </text>
  </threadedComment>
  <threadedComment ref="D47" dT="2024-10-15T19:08:11.43" personId="{4A99DE8D-CB48-4E14-8B98-F9016449BE75}" id="{BDD43CED-CC94-4D70-8C16-34358B063A2F}">
    <text>Achtung je nach Objekt/Kaufpreis kann das hier auch 0% Wachstum oder negativ sein!</text>
  </threadedComment>
  <threadedComment ref="J48" dT="2024-10-15T19:02:35.14" personId="{4A99DE8D-CB48-4E14-8B98-F9016449BE75}" id="{64F56BC8-8930-4410-915A-B9C5809E1B37}">
    <text>Im Jahr 0 = Kaufnebenkosten</text>
  </threadedComment>
  <threadedComment ref="J50" dT="2024-10-15T19:03:21.26" personId="{4A99DE8D-CB48-4E14-8B98-F9016449BE75}" id="{25892125-B687-4E75-A0C4-EF3ADD0FE6EE}">
    <text>In der Spalte links seht ihr euren bisheren „Invest“ (Eigenkapital +Summe aller Cashflows), und hier euren aktuellen Vermögenswert</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https://www.youtube.com/watch?v=PmIKdnbddLk" TargetMode="External"/><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hyperlink" Target="https://www.bmf-steuerrechner.de/ekst/eingabeformekst.xhtml?ekst-result=true" TargetMode="External"/><Relationship Id="rId1" Type="http://schemas.openxmlformats.org/officeDocument/2006/relationships/hyperlink" Target="https://www.finanz-tools.de/einkommensteuer/berechnung-formeln/2022"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pageSetUpPr fitToPage="1"/>
  </sheetPr>
  <dimension ref="B1:AA496"/>
  <sheetViews>
    <sheetView showGridLines="0" tabSelected="1" workbookViewId="0">
      <pane ySplit="11" topLeftCell="A12" activePane="bottomLeft" state="frozen"/>
      <selection pane="bottomLeft" activeCell="C9" sqref="C9"/>
    </sheetView>
  </sheetViews>
  <sheetFormatPr baseColWidth="10" defaultColWidth="11.1796875" defaultRowHeight="15" customHeight="1"/>
  <cols>
    <col min="1" max="1" width="1.54296875" style="135" customWidth="1"/>
    <col min="2" max="2" width="25.36328125" style="135" customWidth="1"/>
    <col min="3" max="3" width="12.6328125" style="135" customWidth="1"/>
    <col min="4" max="4" width="7.7265625" style="135" customWidth="1"/>
    <col min="5" max="5" width="3.7265625" style="135" customWidth="1"/>
    <col min="6" max="6" width="13.36328125" style="135" customWidth="1"/>
    <col min="7" max="10" width="12.6328125" style="135" customWidth="1"/>
    <col min="11" max="11" width="1.1796875" style="135" customWidth="1"/>
    <col min="12" max="12" width="11" style="135" hidden="1" customWidth="1"/>
    <col min="13" max="14" width="9.36328125" style="135" hidden="1" customWidth="1"/>
    <col min="15" max="15" width="8" style="135" hidden="1" customWidth="1"/>
    <col min="16" max="16" width="14.54296875" style="135" hidden="1" customWidth="1"/>
    <col min="17" max="17" width="5.36328125" style="135" hidden="1" customWidth="1"/>
    <col min="18" max="18" width="8.453125" style="135" hidden="1" customWidth="1"/>
    <col min="19" max="19" width="16.90625" style="135" hidden="1" customWidth="1"/>
    <col min="20" max="26" width="8.453125" style="135" hidden="1" customWidth="1"/>
    <col min="27" max="29" width="8.453125" style="135" customWidth="1"/>
    <col min="30" max="16384" width="11.1796875" style="135"/>
  </cols>
  <sheetData>
    <row r="1" spans="2:11" ht="15" customHeight="1" thickBot="1"/>
    <row r="2" spans="2:11" ht="15" customHeight="1">
      <c r="B2" s="367" t="s">
        <v>201</v>
      </c>
      <c r="C2" s="377" t="s">
        <v>16</v>
      </c>
      <c r="E2" s="410" t="s">
        <v>317</v>
      </c>
      <c r="F2" s="411"/>
      <c r="H2" s="376" t="s">
        <v>302</v>
      </c>
      <c r="I2" s="375"/>
      <c r="J2" s="375"/>
      <c r="K2" s="352"/>
    </row>
    <row r="3" spans="2:11" ht="15" customHeight="1" thickBot="1">
      <c r="B3" s="367" t="s">
        <v>202</v>
      </c>
      <c r="C3" s="377">
        <v>80000</v>
      </c>
      <c r="E3" s="412"/>
      <c r="F3" s="413"/>
      <c r="H3" s="414" t="s">
        <v>319</v>
      </c>
      <c r="I3" s="414"/>
      <c r="J3" s="414"/>
      <c r="K3" s="352"/>
    </row>
    <row r="4" spans="2:11" ht="15" customHeight="1">
      <c r="B4" s="368" t="s">
        <v>203</v>
      </c>
      <c r="C4" s="378">
        <v>33756</v>
      </c>
      <c r="H4" s="414"/>
      <c r="I4" s="414"/>
      <c r="J4" s="414"/>
      <c r="K4" s="352"/>
    </row>
    <row r="5" spans="2:11" ht="15" hidden="1" customHeight="1">
      <c r="B5" s="164" t="s">
        <v>204</v>
      </c>
      <c r="C5" s="185">
        <f ca="1">YEAR(TODAY())</f>
        <v>2025</v>
      </c>
      <c r="H5" s="414"/>
      <c r="I5" s="414"/>
      <c r="J5" s="414"/>
      <c r="K5" s="352"/>
    </row>
    <row r="6" spans="2:11" ht="15" customHeight="1">
      <c r="B6" s="136"/>
      <c r="C6" s="352"/>
      <c r="D6" s="136"/>
      <c r="E6" s="136"/>
      <c r="F6" s="136"/>
      <c r="H6" s="414"/>
      <c r="I6" s="414"/>
      <c r="J6" s="414"/>
      <c r="K6" s="352"/>
    </row>
    <row r="7" spans="2:11" ht="15.75" customHeight="1">
      <c r="B7" s="194" t="s">
        <v>194</v>
      </c>
      <c r="C7" s="379" t="s">
        <v>193</v>
      </c>
      <c r="D7" s="168"/>
      <c r="E7" s="168"/>
      <c r="F7" s="168"/>
      <c r="H7" s="414"/>
      <c r="I7" s="414"/>
      <c r="J7" s="414"/>
      <c r="K7" s="352"/>
    </row>
    <row r="8" spans="2:11" ht="15.75" customHeight="1">
      <c r="B8" s="195" t="s">
        <v>185</v>
      </c>
      <c r="C8" s="380">
        <v>249000</v>
      </c>
      <c r="D8" s="169" t="s">
        <v>14</v>
      </c>
      <c r="E8" s="170">
        <v>2</v>
      </c>
      <c r="F8" s="170"/>
      <c r="H8" s="414"/>
      <c r="I8" s="414"/>
      <c r="J8" s="414"/>
      <c r="K8" s="352"/>
    </row>
    <row r="9" spans="2:11" ht="15.75" customHeight="1">
      <c r="B9" s="196" t="s">
        <v>309</v>
      </c>
      <c r="C9" s="381">
        <v>51</v>
      </c>
      <c r="D9" s="186">
        <f>C13/C9</f>
        <v>4882.3529411764703</v>
      </c>
      <c r="E9" s="184" t="s">
        <v>200</v>
      </c>
      <c r="F9" s="184"/>
      <c r="H9" s="414"/>
      <c r="I9" s="414"/>
      <c r="J9" s="414"/>
      <c r="K9" s="352"/>
    </row>
    <row r="10" spans="2:11" ht="15.75" customHeight="1">
      <c r="B10" s="315" t="s">
        <v>297</v>
      </c>
      <c r="C10" s="382">
        <v>850</v>
      </c>
      <c r="D10" s="186">
        <f>C10/C9</f>
        <v>16.666666666666668</v>
      </c>
      <c r="E10" s="184" t="s">
        <v>200</v>
      </c>
      <c r="F10" s="184"/>
      <c r="G10" s="373"/>
      <c r="H10" s="415" t="s">
        <v>318</v>
      </c>
      <c r="I10" s="415"/>
      <c r="J10" s="415"/>
    </row>
    <row r="11" spans="2:11" ht="9" customHeight="1">
      <c r="B11" s="159"/>
      <c r="C11" s="137"/>
      <c r="D11" s="137"/>
      <c r="E11" s="137"/>
      <c r="F11" s="137"/>
      <c r="G11" s="351"/>
      <c r="H11" s="415"/>
      <c r="I11" s="415"/>
      <c r="J11" s="415"/>
    </row>
    <row r="12" spans="2:11" ht="9" customHeight="1">
      <c r="B12" s="159"/>
      <c r="C12" s="137"/>
      <c r="D12" s="137"/>
      <c r="E12" s="137"/>
      <c r="F12" s="137"/>
      <c r="G12" s="351"/>
      <c r="H12" s="351"/>
      <c r="I12" s="351"/>
      <c r="J12" s="351"/>
    </row>
    <row r="13" spans="2:11" ht="15.75" customHeight="1">
      <c r="B13" s="190" t="s">
        <v>15</v>
      </c>
      <c r="C13" s="191">
        <f>C8</f>
        <v>249000</v>
      </c>
      <c r="D13" s="139"/>
      <c r="E13" s="137"/>
      <c r="F13" s="137"/>
      <c r="G13" s="137"/>
      <c r="H13" s="167"/>
      <c r="I13" s="167"/>
      <c r="J13" s="167"/>
    </row>
    <row r="14" spans="2:11" ht="15.75" customHeight="1">
      <c r="B14" s="192" t="s">
        <v>186</v>
      </c>
      <c r="C14" s="193">
        <v>0</v>
      </c>
      <c r="D14" s="140"/>
      <c r="E14" s="137"/>
      <c r="F14" s="137"/>
      <c r="G14" s="137"/>
      <c r="H14" s="167"/>
      <c r="I14" s="167"/>
      <c r="J14" s="167"/>
    </row>
    <row r="15" spans="2:11" ht="15.75" customHeight="1">
      <c r="B15" s="198" t="s">
        <v>17</v>
      </c>
      <c r="C15" s="199">
        <v>0</v>
      </c>
      <c r="D15" s="141"/>
      <c r="E15" s="137"/>
      <c r="F15" s="137"/>
      <c r="G15" s="137"/>
      <c r="H15" s="167"/>
      <c r="I15" s="167"/>
      <c r="J15" s="167"/>
    </row>
    <row r="16" spans="2:11" ht="15.75" customHeight="1">
      <c r="B16" s="160" t="s">
        <v>187</v>
      </c>
      <c r="C16" s="161">
        <f>SUM(C13:C15)-C15</f>
        <v>249000</v>
      </c>
      <c r="D16" s="141"/>
      <c r="E16" s="137"/>
      <c r="F16" s="137"/>
      <c r="G16" s="137"/>
      <c r="H16" s="137"/>
      <c r="I16"/>
      <c r="J16" s="137"/>
    </row>
    <row r="17" spans="2:16" ht="15.75" customHeight="1">
      <c r="B17" s="189" t="s">
        <v>20</v>
      </c>
      <c r="C17" s="200">
        <f>C16*D17</f>
        <v>12450</v>
      </c>
      <c r="D17" s="383">
        <v>0.05</v>
      </c>
      <c r="E17" s="137"/>
      <c r="F17" s="137"/>
      <c r="G17" s="142"/>
      <c r="H17" s="137"/>
      <c r="I17" s="137"/>
      <c r="J17" s="137"/>
      <c r="K17" s="137"/>
      <c r="L17" s="137"/>
    </row>
    <row r="18" spans="2:16" ht="15.75" customHeight="1">
      <c r="B18" s="177" t="s">
        <v>21</v>
      </c>
      <c r="C18" s="201">
        <f>(C16)*D18+ IF(C91="ja",C15*D18)+ IF(C92="ja",400)</f>
        <v>4980</v>
      </c>
      <c r="D18" s="384">
        <f>1.5%+0.5%</f>
        <v>0.02</v>
      </c>
      <c r="E18" s="137"/>
      <c r="F18" s="137"/>
      <c r="G18" s="142"/>
      <c r="H18" s="137"/>
      <c r="I18" s="137"/>
      <c r="J18" s="137"/>
      <c r="K18" s="137"/>
      <c r="L18" s="137"/>
    </row>
    <row r="19" spans="2:16" ht="15.75" customHeight="1">
      <c r="B19" s="197" t="s">
        <v>23</v>
      </c>
      <c r="C19" s="202">
        <f>C16*D19</f>
        <v>6225</v>
      </c>
      <c r="D19" s="385">
        <v>2.5000000000000001E-2</v>
      </c>
      <c r="E19" s="137"/>
      <c r="F19" s="137"/>
      <c r="G19" s="137"/>
      <c r="H19" s="137"/>
      <c r="I19" s="137"/>
      <c r="J19" s="137"/>
      <c r="K19" s="137"/>
      <c r="L19" s="137"/>
      <c r="P19" s="207"/>
    </row>
    <row r="20" spans="2:16" ht="15.75" customHeight="1">
      <c r="B20" s="160" t="s">
        <v>24</v>
      </c>
      <c r="C20" s="203">
        <f t="shared" ref="C20:D20" si="0">SUM(C17:C19)</f>
        <v>23655</v>
      </c>
      <c r="D20" s="188">
        <f t="shared" si="0"/>
        <v>9.5000000000000001E-2</v>
      </c>
      <c r="E20" s="137"/>
      <c r="F20" s="137"/>
      <c r="G20" s="137"/>
      <c r="H20" s="137"/>
      <c r="I20" s="137"/>
      <c r="J20" s="137"/>
      <c r="K20" s="137"/>
      <c r="L20" s="137"/>
    </row>
    <row r="21" spans="2:16" ht="4.8" customHeight="1">
      <c r="B21" s="159"/>
      <c r="C21" s="137"/>
      <c r="D21" s="137"/>
      <c r="E21" s="137"/>
      <c r="F21" s="137"/>
      <c r="G21" s="137"/>
      <c r="H21" s="137"/>
      <c r="I21" s="137"/>
      <c r="J21" s="137"/>
      <c r="K21" s="137"/>
      <c r="L21" s="137"/>
    </row>
    <row r="22" spans="2:16" ht="16.2" customHeight="1">
      <c r="B22" s="314" t="s">
        <v>316</v>
      </c>
      <c r="C22" s="386">
        <v>0</v>
      </c>
      <c r="D22" s="187">
        <f>C22/C8</f>
        <v>0</v>
      </c>
      <c r="E22" s="137"/>
      <c r="F22" s="137"/>
      <c r="G22" s="137"/>
      <c r="H22" s="137"/>
      <c r="I22" s="137"/>
      <c r="J22" s="137"/>
      <c r="K22" s="137"/>
      <c r="L22" s="137"/>
    </row>
    <row r="23" spans="2:16" ht="15.75" customHeight="1">
      <c r="B23" s="314" t="s">
        <v>315</v>
      </c>
      <c r="C23" s="374">
        <f>C20+C22</f>
        <v>23655</v>
      </c>
      <c r="D23" s="187">
        <f>C23/C16</f>
        <v>9.5000000000000001E-2</v>
      </c>
      <c r="E23" s="137"/>
      <c r="F23" s="137"/>
      <c r="G23" s="137"/>
      <c r="H23" s="137"/>
      <c r="I23" s="137"/>
      <c r="J23" s="137"/>
      <c r="K23" s="137"/>
      <c r="L23" s="137"/>
      <c r="M23" s="136"/>
      <c r="N23" s="136"/>
      <c r="O23" s="136"/>
      <c r="P23" s="136"/>
    </row>
    <row r="24" spans="2:16" ht="15.75" customHeight="1">
      <c r="B24" s="159"/>
      <c r="C24" s="162"/>
      <c r="D24" s="137"/>
      <c r="E24" s="137"/>
      <c r="F24" s="137"/>
      <c r="G24" s="137"/>
      <c r="H24" s="137"/>
      <c r="I24" s="137"/>
      <c r="J24" s="137"/>
      <c r="K24" s="137"/>
      <c r="L24" s="137"/>
      <c r="M24" s="136"/>
      <c r="N24" s="136"/>
      <c r="O24" s="136"/>
      <c r="P24" s="136"/>
    </row>
    <row r="25" spans="2:16" ht="15.75" customHeight="1">
      <c r="B25" s="175" t="s">
        <v>27</v>
      </c>
      <c r="C25" s="176">
        <f>C16+C20-C23+IF(C91="ja",C15)</f>
        <v>249000</v>
      </c>
      <c r="D25" s="139"/>
      <c r="E25" s="137"/>
      <c r="F25" s="137"/>
      <c r="G25" s="137"/>
      <c r="H25" s="137"/>
      <c r="I25" s="137"/>
      <c r="J25" s="137"/>
      <c r="K25" s="137"/>
      <c r="L25" s="137"/>
      <c r="M25" s="366"/>
    </row>
    <row r="26" spans="2:16" ht="15.75" customHeight="1">
      <c r="B26" s="370" t="s">
        <v>320</v>
      </c>
      <c r="C26" s="372">
        <f>-C25*D26/12</f>
        <v>-726.25</v>
      </c>
      <c r="D26" s="387">
        <v>3.5000000000000003E-2</v>
      </c>
      <c r="E26" s="137"/>
      <c r="F26" s="137"/>
      <c r="G26" s="399"/>
      <c r="H26" s="400" t="s">
        <v>321</v>
      </c>
      <c r="I26" s="399"/>
      <c r="J26" s="399"/>
      <c r="K26" s="137"/>
      <c r="L26" s="137"/>
    </row>
    <row r="27" spans="2:16" ht="15.75" customHeight="1">
      <c r="B27" s="177" t="s">
        <v>30</v>
      </c>
      <c r="C27" s="318">
        <f>D27</f>
        <v>-20.399999999999999</v>
      </c>
      <c r="D27" s="388">
        <v>-20.399999999999999</v>
      </c>
      <c r="E27" s="137"/>
      <c r="F27" s="137"/>
      <c r="G27" s="398"/>
      <c r="H27" s="419" t="s">
        <v>322</v>
      </c>
      <c r="I27" s="419"/>
      <c r="J27" s="419"/>
      <c r="K27" s="137"/>
      <c r="L27" s="137"/>
    </row>
    <row r="28" spans="2:16" ht="15.75" customHeight="1">
      <c r="B28" s="177" t="s">
        <v>310</v>
      </c>
      <c r="C28" s="318">
        <f>C9*D28</f>
        <v>-51</v>
      </c>
      <c r="D28" s="388">
        <v>-1</v>
      </c>
      <c r="E28" s="184" t="s">
        <v>205</v>
      </c>
      <c r="F28" s="369"/>
      <c r="G28" s="398"/>
      <c r="H28" s="420" t="s">
        <v>323</v>
      </c>
      <c r="I28" s="420"/>
      <c r="J28" s="420"/>
      <c r="K28" s="137"/>
      <c r="L28" s="137"/>
    </row>
    <row r="29" spans="2:16" ht="15.75" customHeight="1">
      <c r="B29" s="177" t="s">
        <v>306</v>
      </c>
      <c r="C29" s="318">
        <f>D29</f>
        <v>-71</v>
      </c>
      <c r="D29" s="388">
        <v>-71</v>
      </c>
      <c r="E29" s="184"/>
      <c r="F29" s="136"/>
      <c r="G29" s="398"/>
      <c r="H29" s="398"/>
      <c r="I29" s="398"/>
      <c r="J29" s="398"/>
      <c r="K29" s="137"/>
      <c r="L29" s="137"/>
    </row>
    <row r="30" spans="2:16" ht="15.75" customHeight="1">
      <c r="B30" s="177" t="s">
        <v>311</v>
      </c>
      <c r="C30" s="318">
        <f>D30</f>
        <v>-30</v>
      </c>
      <c r="D30" s="389">
        <v>-30</v>
      </c>
      <c r="E30" s="144"/>
      <c r="F30" s="144"/>
      <c r="G30" s="398"/>
      <c r="H30" s="398"/>
      <c r="I30" s="398"/>
      <c r="J30" s="398"/>
      <c r="K30" s="137"/>
      <c r="L30" s="137"/>
    </row>
    <row r="31" spans="2:16" ht="15.75" customHeight="1">
      <c r="B31" s="314" t="s">
        <v>312</v>
      </c>
      <c r="C31" s="319">
        <f>SUM(C26:C30)</f>
        <v>-898.65</v>
      </c>
      <c r="E31" s="145"/>
      <c r="F31" s="353"/>
      <c r="G31" s="398"/>
      <c r="H31" s="398"/>
      <c r="I31" s="398"/>
      <c r="J31" s="398"/>
      <c r="K31" s="137"/>
      <c r="L31" s="137"/>
    </row>
    <row r="32" spans="2:16" ht="6" customHeight="1">
      <c r="B32" s="316"/>
      <c r="C32" s="320"/>
      <c r="E32" s="145"/>
      <c r="F32" s="145"/>
      <c r="G32" s="398"/>
      <c r="H32" s="398"/>
      <c r="I32" s="398"/>
      <c r="J32" s="398"/>
      <c r="K32" s="137"/>
      <c r="L32" s="137"/>
    </row>
    <row r="33" spans="2:27" ht="15.75" customHeight="1">
      <c r="B33" s="317" t="s">
        <v>299</v>
      </c>
      <c r="C33" s="321">
        <f>C10</f>
        <v>850</v>
      </c>
      <c r="D33" s="350">
        <f>C33*12/C8</f>
        <v>4.0963855421686748E-2</v>
      </c>
      <c r="E33" s="184" t="s">
        <v>197</v>
      </c>
      <c r="F33" s="184"/>
      <c r="G33" s="398"/>
      <c r="H33" s="398"/>
      <c r="I33" s="398"/>
      <c r="J33" s="398"/>
      <c r="K33" s="183"/>
      <c r="L33" s="146"/>
    </row>
    <row r="34" spans="2:27" ht="15.75" customHeight="1">
      <c r="B34" s="343" t="str">
        <f>IF(C34&gt;=0,"Steuerersparnis (Steuerpfand)","Steueraufwand (Steuerrücklage)")</f>
        <v>Steuerersparnis (Steuerpfand)</v>
      </c>
      <c r="C34" s="344">
        <f>IF(C2="ledig",'Cashflow Details'!BB5/12,'Cashflow Details'!BC5/12)</f>
        <v>130.5</v>
      </c>
      <c r="E34" s="145"/>
      <c r="F34" s="145"/>
      <c r="K34" s="137"/>
      <c r="L34" s="137"/>
    </row>
    <row r="35" spans="2:27" ht="15.75" hidden="1" customHeight="1">
      <c r="B35" s="345" t="s">
        <v>298</v>
      </c>
      <c r="C35" s="346">
        <f>C31+C33+C34</f>
        <v>81.850000000000023</v>
      </c>
      <c r="D35" s="137"/>
      <c r="E35" s="147"/>
      <c r="F35" s="147"/>
      <c r="K35" s="137"/>
      <c r="L35" s="137"/>
    </row>
    <row r="36" spans="2:27" ht="15.75" customHeight="1">
      <c r="B36" s="343" t="s">
        <v>192</v>
      </c>
      <c r="C36" s="347">
        <f>C25*-D36/12</f>
        <v>-311.25</v>
      </c>
      <c r="D36" s="390">
        <v>1.4999999999999999E-2</v>
      </c>
      <c r="E36" s="137"/>
      <c r="F36" s="137"/>
      <c r="K36" s="137"/>
      <c r="L36" s="137"/>
    </row>
    <row r="37" spans="2:27" ht="15.75" customHeight="1">
      <c r="B37" s="348" t="s">
        <v>305</v>
      </c>
      <c r="C37" s="349">
        <f>C35+C36</f>
        <v>-229.39999999999998</v>
      </c>
      <c r="D37" s="137"/>
      <c r="E37" s="137"/>
      <c r="F37" s="137"/>
      <c r="K37" s="137"/>
      <c r="L37" s="137"/>
    </row>
    <row r="38" spans="2:27" ht="15.75" customHeight="1">
      <c r="B38" s="137"/>
      <c r="C38" s="137"/>
      <c r="D38" s="137"/>
      <c r="E38" s="137"/>
      <c r="F38" s="137"/>
      <c r="K38" s="137"/>
      <c r="L38" s="137"/>
    </row>
    <row r="39" spans="2:27" ht="15.75" customHeight="1">
      <c r="B39" s="137"/>
      <c r="C39" s="137"/>
      <c r="D39" s="137"/>
      <c r="E39" s="137"/>
      <c r="K39" s="137"/>
      <c r="L39" s="137"/>
    </row>
    <row r="40" spans="2:27" ht="15.75" customHeight="1">
      <c r="B40" s="363" t="s">
        <v>212</v>
      </c>
      <c r="C40" s="364"/>
      <c r="D40" s="365"/>
      <c r="E40" s="137"/>
      <c r="F40" s="407" t="s">
        <v>301</v>
      </c>
      <c r="G40" s="408"/>
      <c r="H40" s="408"/>
      <c r="I40" s="408"/>
      <c r="J40" s="409"/>
      <c r="K40" s="137"/>
      <c r="L40" s="137"/>
    </row>
    <row r="41" spans="2:27" ht="15.75" customHeight="1">
      <c r="B41" s="357" t="s">
        <v>209</v>
      </c>
      <c r="C41" s="358"/>
      <c r="D41" s="359"/>
      <c r="E41" s="137"/>
      <c r="F41" s="324" t="s">
        <v>195</v>
      </c>
      <c r="G41" s="322" t="s">
        <v>207</v>
      </c>
      <c r="H41" s="322" t="s">
        <v>190</v>
      </c>
      <c r="I41" s="322" t="s">
        <v>191</v>
      </c>
      <c r="J41" s="323" t="s">
        <v>307</v>
      </c>
      <c r="K41" s="137"/>
      <c r="L41" s="137"/>
    </row>
    <row r="42" spans="2:27" ht="15.75" customHeight="1">
      <c r="B42" s="209" t="s">
        <v>210</v>
      </c>
      <c r="C42" s="210"/>
      <c r="D42" s="391">
        <v>19</v>
      </c>
      <c r="E42" s="137"/>
      <c r="F42" s="325" t="s">
        <v>300</v>
      </c>
      <c r="G42" s="331" t="s">
        <v>206</v>
      </c>
      <c r="H42" s="332">
        <f>H43/C9</f>
        <v>16.666666666666668</v>
      </c>
      <c r="I42" s="332">
        <f>D42</f>
        <v>19</v>
      </c>
      <c r="J42" s="333">
        <f ca="1">I42*(1+D43)^D82</f>
        <v>37.252844608418272</v>
      </c>
      <c r="K42" s="137"/>
      <c r="L42" s="137"/>
    </row>
    <row r="43" spans="2:27" ht="15.75" customHeight="1">
      <c r="B43" s="211" t="s">
        <v>49</v>
      </c>
      <c r="C43" s="212"/>
      <c r="D43" s="392">
        <v>0.02</v>
      </c>
      <c r="E43" s="137"/>
      <c r="F43" s="326" t="s">
        <v>35</v>
      </c>
      <c r="G43" s="334">
        <v>0</v>
      </c>
      <c r="H43" s="334">
        <f>C33</f>
        <v>850</v>
      </c>
      <c r="I43" s="334">
        <f>H43-(H42*C9)+I42*C9</f>
        <v>968.99999999999989</v>
      </c>
      <c r="J43" s="335">
        <f ca="1">I43*(1+D43)^(DATEDIF(TODAY(),(DATE(YEAR($C$4)+67,MONTH($C$4),DAY($C$4))),"Y"))</f>
        <v>1862.6422304209136</v>
      </c>
      <c r="K43" s="137"/>
      <c r="L43" s="137"/>
    </row>
    <row r="44" spans="2:27" ht="15.75" customHeight="1">
      <c r="B44" s="213" t="s">
        <v>51</v>
      </c>
      <c r="C44" s="214"/>
      <c r="D44" s="393">
        <v>0.02</v>
      </c>
      <c r="E44" s="137"/>
      <c r="F44" s="327" t="s">
        <v>196</v>
      </c>
      <c r="G44" s="336">
        <f>G43+G45</f>
        <v>-760.57500000000005</v>
      </c>
      <c r="H44" s="336">
        <f>H43+H45</f>
        <v>-229.40000000000009</v>
      </c>
      <c r="I44" s="336">
        <f>I43+I45</f>
        <v>-160.31666666666672</v>
      </c>
      <c r="J44" s="337">
        <f ca="1">IF($C$2="ledig",VLOOKUP(D82,'Cashflow Details'!67:1005,74,)/12,VLOOKUP(D82,'Cashflow Details'!67:1005,75,)/12)</f>
        <v>971.24969568543986</v>
      </c>
      <c r="K44" s="137"/>
      <c r="L44" s="137"/>
      <c r="N44" s="166"/>
    </row>
    <row r="45" spans="2:27" ht="15.75" customHeight="1">
      <c r="E45" s="167"/>
      <c r="F45" s="167" t="s">
        <v>199</v>
      </c>
      <c r="G45" s="174">
        <f>C31+C36+C99+(-C31*0.5)</f>
        <v>-760.57500000000005</v>
      </c>
      <c r="H45" s="174">
        <f>C31+C36+C99+C34</f>
        <v>-1079.4000000000001</v>
      </c>
      <c r="I45" s="174">
        <f>IF(C2="ledig",'Cashflow Details'!BF5/12,'Cashflow Details'!BG5/12)+C31+C36+C99</f>
        <v>-1129.3166666666666</v>
      </c>
      <c r="J45" s="174">
        <f ca="1">J44-J43</f>
        <v>-891.39253473547376</v>
      </c>
      <c r="K45" s="137"/>
      <c r="L45" s="137"/>
      <c r="N45" s="166"/>
    </row>
    <row r="46" spans="2:27" ht="15.75" customHeight="1">
      <c r="B46" s="360" t="s">
        <v>211</v>
      </c>
      <c r="C46" s="361"/>
      <c r="D46" s="362"/>
      <c r="E46" s="207"/>
      <c r="F46" s="407" t="s">
        <v>303</v>
      </c>
      <c r="G46" s="408"/>
      <c r="H46" s="408"/>
      <c r="I46" s="408"/>
      <c r="J46" s="409"/>
      <c r="K46" s="137"/>
      <c r="L46" s="356" t="s">
        <v>313</v>
      </c>
      <c r="N46" s="166"/>
    </row>
    <row r="47" spans="2:27" ht="15.75" customHeight="1">
      <c r="B47" s="209" t="s">
        <v>46</v>
      </c>
      <c r="C47" s="210"/>
      <c r="D47" s="394">
        <v>0.01</v>
      </c>
      <c r="E47" s="137"/>
      <c r="F47" s="324" t="s">
        <v>198</v>
      </c>
      <c r="G47" s="322" t="s">
        <v>41</v>
      </c>
      <c r="H47" s="322" t="s">
        <v>42</v>
      </c>
      <c r="I47" s="322" t="s">
        <v>314</v>
      </c>
      <c r="J47" s="323" t="s">
        <v>45</v>
      </c>
      <c r="K47" s="340" t="s">
        <v>43</v>
      </c>
      <c r="L47" s="354" t="s">
        <v>308</v>
      </c>
      <c r="N47" s="166"/>
    </row>
    <row r="48" spans="2:27" ht="15.75" customHeight="1">
      <c r="B48" s="213" t="s">
        <v>47</v>
      </c>
      <c r="C48" s="214"/>
      <c r="D48" s="395">
        <v>0</v>
      </c>
      <c r="E48" s="137"/>
      <c r="F48" s="339">
        <v>0</v>
      </c>
      <c r="G48" s="338">
        <f>-C25</f>
        <v>-249000</v>
      </c>
      <c r="H48" s="338">
        <f>C8</f>
        <v>249000</v>
      </c>
      <c r="I48" s="338">
        <f>-C23</f>
        <v>-23655</v>
      </c>
      <c r="J48" s="328">
        <f>G48+H48+I48</f>
        <v>-23655</v>
      </c>
      <c r="K48" s="341">
        <f>ROUND(VLOOKUP(F48,'Cashflow Details'!$1:$1005,27,)/1000,0)</f>
        <v>0</v>
      </c>
      <c r="L48" s="355">
        <f>J48</f>
        <v>-23655</v>
      </c>
      <c r="N48" s="166"/>
      <c r="AA48" s="397"/>
    </row>
    <row r="49" spans="2:27" ht="15.75" customHeight="1">
      <c r="E49" s="137"/>
      <c r="F49" s="339">
        <v>5</v>
      </c>
      <c r="G49" s="338">
        <f>((ROUND(-VLOOKUP(F49,'Cashflow Details'!$1:$1005,6,)/1000,0)))*1000</f>
        <v>-229000</v>
      </c>
      <c r="H49" s="338">
        <f>(ROUND(VLOOKUP(F49,'Cashflow Details'!$1:$1005,4,)/1000,0))*1000</f>
        <v>262000</v>
      </c>
      <c r="I49" s="338">
        <f>(ROUND(IF($C$2="ledig",VLOOKUP(F49,'Cashflow Details'!$1:$1005,67),VLOOKUP(F49,'Cashflow Details'!$1:$1005,69))/1000,0))*1000</f>
        <v>-37000</v>
      </c>
      <c r="J49" s="328">
        <f>G49+H49</f>
        <v>33000</v>
      </c>
      <c r="K49" s="341">
        <f>ROUND(VLOOKUP(F49,'Cashflow Details'!$1:$1005,27,)/1000,0)</f>
        <v>0</v>
      </c>
      <c r="L49" s="355">
        <f>J49+I49</f>
        <v>-4000</v>
      </c>
      <c r="N49" s="166"/>
      <c r="AA49" s="397"/>
    </row>
    <row r="50" spans="2:27" ht="15.75" customHeight="1">
      <c r="B50" s="360" t="s">
        <v>208</v>
      </c>
      <c r="C50" s="361"/>
      <c r="D50" s="362"/>
      <c r="E50" s="137"/>
      <c r="F50" s="339">
        <v>10</v>
      </c>
      <c r="G50" s="338">
        <f>((ROUND(-VLOOKUP(F50,'Cashflow Details'!$1:$1005,6,)/1000,0)))*1000</f>
        <v>-204000</v>
      </c>
      <c r="H50" s="338">
        <f>(ROUND(VLOOKUP(F50,'Cashflow Details'!$1:$1005,4,)/1000,0))*1000</f>
        <v>275000</v>
      </c>
      <c r="I50" s="338">
        <f>(ROUND(IF($C$2="ledig",VLOOKUP(F50,'Cashflow Details'!$1:$1005,67),VLOOKUP(F50,'Cashflow Details'!$1:$1005,69))/1000,0))*1000</f>
        <v>-50000</v>
      </c>
      <c r="J50" s="328">
        <f>G50+H50</f>
        <v>71000</v>
      </c>
      <c r="K50" s="341">
        <f>ROUND(VLOOKUP(F50,'Cashflow Details'!$1:$1005,27,)/1000,0)</f>
        <v>0</v>
      </c>
      <c r="L50" s="355">
        <f t="shared" ref="L50:L53" si="1">J50+I50</f>
        <v>21000</v>
      </c>
      <c r="M50" s="143"/>
      <c r="N50" s="371">
        <f>(I50-I48)/F50/12</f>
        <v>-219.54166666666666</v>
      </c>
      <c r="AA50" s="397"/>
    </row>
    <row r="51" spans="2:27" ht="15.75" customHeight="1">
      <c r="B51" s="209" t="s">
        <v>50</v>
      </c>
      <c r="C51" s="210"/>
      <c r="D51" s="394">
        <v>0.02</v>
      </c>
      <c r="E51" s="137"/>
      <c r="F51" s="339">
        <v>20</v>
      </c>
      <c r="G51" s="338">
        <f>(ROUND(-VLOOKUP(F51,'Cashflow Details'!$1:$1005,6,)/1000,0))*1000</f>
        <v>-141000</v>
      </c>
      <c r="H51" s="338">
        <f>(ROUND(VLOOKUP(F51,'Cashflow Details'!$1:$1005,4,)/1000,0))*1000</f>
        <v>304000</v>
      </c>
      <c r="I51" s="338">
        <f>(ROUND(IF($C$2="ledig",VLOOKUP(F51,'Cashflow Details'!$1:$1005,67),VLOOKUP(F51,'Cashflow Details'!$1:$1005,69))/1000,0))*1000</f>
        <v>-73000</v>
      </c>
      <c r="J51" s="328">
        <f t="shared" ref="J51:J55" si="2">G51+H51+I51</f>
        <v>90000</v>
      </c>
      <c r="K51" s="341">
        <f>ROUND(VLOOKUP(F51,'Cashflow Details'!$1:$1005,27,)/1000,0)</f>
        <v>0</v>
      </c>
      <c r="L51" s="355">
        <f t="shared" si="1"/>
        <v>17000</v>
      </c>
      <c r="M51" s="143"/>
      <c r="N51" s="371">
        <f>(I51-I48)/F51/12</f>
        <v>-205.60416666666666</v>
      </c>
      <c r="AA51" s="397"/>
    </row>
    <row r="52" spans="2:27" ht="15.75" customHeight="1">
      <c r="B52" s="211" t="s">
        <v>52</v>
      </c>
      <c r="C52" s="212"/>
      <c r="D52" s="396">
        <v>0.02</v>
      </c>
      <c r="E52" s="137"/>
      <c r="F52" s="339">
        <v>30</v>
      </c>
      <c r="G52" s="338">
        <f>(ROUND(-VLOOKUP(F52,'Cashflow Details'!$1:$1005,6,)/1000,0))*1000</f>
        <v>-51000</v>
      </c>
      <c r="H52" s="338">
        <f>(ROUND(VLOOKUP(F52,'Cashflow Details'!$1:$1005,4,)/1000,0))*1000</f>
        <v>336000</v>
      </c>
      <c r="I52" s="338">
        <f>(ROUND(IF($C$2="ledig",VLOOKUP(F52,'Cashflow Details'!$1:$1005,67),VLOOKUP(F52,'Cashflow Details'!$1:$1005,69))/1000,0))*1000</f>
        <v>-94000</v>
      </c>
      <c r="J52" s="328">
        <f t="shared" si="2"/>
        <v>191000</v>
      </c>
      <c r="K52" s="341">
        <f>ROUND(VLOOKUP(F52,'Cashflow Details'!$1:$1005,27,)/1000,0)</f>
        <v>0</v>
      </c>
      <c r="L52" s="355">
        <f t="shared" si="1"/>
        <v>97000</v>
      </c>
      <c r="M52" s="143"/>
      <c r="N52" s="371"/>
      <c r="AA52" s="397"/>
    </row>
    <row r="53" spans="2:27" ht="15.75" customHeight="1">
      <c r="B53" s="213" t="s">
        <v>53</v>
      </c>
      <c r="C53" s="214"/>
      <c r="D53" s="395">
        <v>0.3</v>
      </c>
      <c r="E53" s="137"/>
      <c r="F53" s="339">
        <v>40</v>
      </c>
      <c r="G53" s="338">
        <f>(ROUND(-VLOOKUP(F53,'Cashflow Details'!$1:$1005,6,)/1000,0))*1000</f>
        <v>0</v>
      </c>
      <c r="H53" s="338">
        <f>(ROUND(VLOOKUP(F53,'Cashflow Details'!$1:$1005,4,)/1000,0))*1000</f>
        <v>371000</v>
      </c>
      <c r="I53" s="338">
        <f>(ROUND(IF($C$2="ledig",VLOOKUP(F53,'Cashflow Details'!$1:$1005,67),VLOOKUP(F53,'Cashflow Details'!$1:$1005,69))/1000,0))*1000</f>
        <v>-44000</v>
      </c>
      <c r="J53" s="328">
        <f t="shared" si="2"/>
        <v>327000</v>
      </c>
      <c r="K53" s="341">
        <f>ROUND(VLOOKUP(F53,'Cashflow Details'!$1:$1005,27,)/1000,0)</f>
        <v>0</v>
      </c>
      <c r="L53" s="355">
        <f t="shared" si="1"/>
        <v>283000</v>
      </c>
      <c r="M53" s="143"/>
      <c r="N53" s="371"/>
      <c r="AA53" s="397"/>
    </row>
    <row r="54" spans="2:27" ht="9" customHeight="1">
      <c r="E54" s="137"/>
      <c r="F54" s="208"/>
      <c r="G54" s="329"/>
      <c r="H54" s="329"/>
      <c r="I54" s="329"/>
      <c r="J54" s="330"/>
      <c r="K54" s="137"/>
      <c r="L54" s="148"/>
      <c r="M54" s="143"/>
      <c r="N54" s="371"/>
    </row>
    <row r="55" spans="2:27" ht="15.75" customHeight="1">
      <c r="E55" s="137"/>
      <c r="F55" s="339" t="str">
        <f ca="1">_xlfn.CONCAT(D82," ",B82)</f>
        <v>34 Jahre bis 67</v>
      </c>
      <c r="G55" s="338">
        <f ca="1">(ROUND(-VLOOKUP((VALUE(LEFT(F55,2))),'Cashflow Details'!$67:$1005,6,)/1000,0))*1000</f>
        <v>-6000</v>
      </c>
      <c r="H55" s="338">
        <f ca="1">(ROUND(VLOOKUP((VALUE(LEFT(F55,2))),'Cashflow Details'!$67:$1005,4,)/1000,0))*1000</f>
        <v>349000</v>
      </c>
      <c r="I55" s="338">
        <f ca="1">(ROUND(IF($C$2="ledig",VLOOKUP((VALUE(LEFT(F55,2))),'Cashflow Details'!$1:$1005,67,),VLOOKUP((VALUE(LEFT(F55,2))),'Cashflow Details'!$1:$1005,69))/1000,0))*1000</f>
        <v>-103000</v>
      </c>
      <c r="J55" s="328">
        <f t="shared" ca="1" si="2"/>
        <v>240000</v>
      </c>
      <c r="K55" s="137"/>
      <c r="L55" s="148"/>
      <c r="M55" s="143"/>
      <c r="N55" s="371"/>
      <c r="AA55" s="397"/>
    </row>
    <row r="56" spans="2:27" ht="15.75" customHeight="1">
      <c r="C56" s="148"/>
      <c r="D56" s="137"/>
      <c r="E56" s="137"/>
      <c r="F56" s="342" t="s">
        <v>304</v>
      </c>
      <c r="K56" s="137"/>
      <c r="L56" s="137"/>
      <c r="M56" s="143"/>
      <c r="N56" s="371"/>
    </row>
    <row r="70" spans="2:12" ht="15" hidden="1" customHeight="1"/>
    <row r="71" spans="2:12" ht="15" hidden="1" customHeight="1"/>
    <row r="72" spans="2:12" ht="15" hidden="1" customHeight="1"/>
    <row r="73" spans="2:12" ht="15" hidden="1" customHeight="1"/>
    <row r="74" spans="2:12" ht="15" hidden="1" customHeight="1"/>
    <row r="75" spans="2:12" ht="15" hidden="1" customHeight="1"/>
    <row r="76" spans="2:12" ht="15" hidden="1" customHeight="1"/>
    <row r="77" spans="2:12" ht="15" hidden="1" customHeight="1"/>
    <row r="78" spans="2:12" ht="15" hidden="1" customHeight="1"/>
    <row r="79" spans="2:12" ht="15.75" hidden="1" customHeight="1">
      <c r="K79" s="148"/>
      <c r="L79" s="179">
        <f ca="1">ROUND(VLOOKUP((VALUE(LEFT(F55,2))),'Cashflow Details'!$67:$1005,27,)/1000,0)</f>
        <v>0</v>
      </c>
    </row>
    <row r="80" spans="2:12" ht="15.75" hidden="1" customHeight="1">
      <c r="B80" s="205" t="s">
        <v>48</v>
      </c>
      <c r="D80" s="155">
        <v>0.06</v>
      </c>
      <c r="E80" s="137"/>
      <c r="F80" s="137"/>
      <c r="G80" s="137"/>
      <c r="H80" s="137"/>
      <c r="I80" s="137"/>
      <c r="J80" s="137"/>
      <c r="K80" s="137"/>
    </row>
    <row r="81" spans="2:12" ht="15.75" hidden="1" customHeight="1">
      <c r="B81" s="205" t="s">
        <v>59</v>
      </c>
      <c r="D81" s="206">
        <v>0.8</v>
      </c>
      <c r="E81" s="137"/>
      <c r="F81" s="137"/>
      <c r="G81" s="137"/>
      <c r="H81" s="137"/>
      <c r="I81" s="137"/>
      <c r="J81" s="137"/>
      <c r="K81" s="137"/>
      <c r="L81" s="137"/>
    </row>
    <row r="82" spans="2:12" ht="15.75" hidden="1" customHeight="1">
      <c r="B82" s="204" t="s">
        <v>58</v>
      </c>
      <c r="D82" s="158">
        <f ca="1">YEAR(C4)+67-C5</f>
        <v>34</v>
      </c>
      <c r="E82" s="137"/>
      <c r="F82" s="137"/>
      <c r="G82" s="137"/>
      <c r="H82" s="137"/>
      <c r="I82" s="137"/>
      <c r="J82" s="137"/>
      <c r="K82" s="137"/>
      <c r="L82" s="137"/>
    </row>
    <row r="83" spans="2:12" ht="15.75" hidden="1" customHeight="1">
      <c r="B83" s="204"/>
      <c r="D83" s="158"/>
      <c r="E83" s="137"/>
      <c r="F83" s="137"/>
      <c r="G83" s="137"/>
      <c r="H83" s="137"/>
      <c r="I83" s="137"/>
      <c r="J83" s="137"/>
      <c r="K83" s="137"/>
      <c r="L83" s="137"/>
    </row>
    <row r="84" spans="2:12" ht="15.75" hidden="1" customHeight="1">
      <c r="B84" s="152" t="s">
        <v>60</v>
      </c>
      <c r="D84" s="137"/>
      <c r="E84" s="137"/>
      <c r="F84" s="137"/>
      <c r="G84" s="137"/>
      <c r="I84" s="137"/>
      <c r="J84" s="137"/>
      <c r="K84" s="137"/>
      <c r="L84" s="137"/>
    </row>
    <row r="85" spans="2:12" ht="15.75" hidden="1" customHeight="1">
      <c r="B85" s="153" t="s">
        <v>61</v>
      </c>
      <c r="C85" s="154">
        <f>'CF-Berechnung'!E18</f>
        <v>0.04</v>
      </c>
      <c r="D85" s="137"/>
      <c r="E85" s="137"/>
      <c r="F85" s="137"/>
      <c r="G85" s="137"/>
      <c r="I85" s="137"/>
      <c r="J85" s="137"/>
      <c r="K85" s="137"/>
      <c r="L85" s="137"/>
    </row>
    <row r="86" spans="2:12" ht="15.75" hidden="1" customHeight="1">
      <c r="B86" s="153" t="s">
        <v>62</v>
      </c>
      <c r="C86" s="154">
        <f>'CF-Berechnung'!E27</f>
        <v>0.02</v>
      </c>
      <c r="D86" s="137"/>
      <c r="E86" s="137"/>
      <c r="F86" s="137"/>
      <c r="G86" s="137"/>
      <c r="I86" s="137"/>
      <c r="J86" s="137"/>
      <c r="K86" s="137"/>
      <c r="L86" s="137"/>
    </row>
    <row r="87" spans="2:12" ht="15.75" hidden="1" customHeight="1">
      <c r="B87" s="152" t="s">
        <v>63</v>
      </c>
      <c r="D87" s="137"/>
      <c r="E87" s="137"/>
      <c r="F87" s="137"/>
      <c r="G87" s="137"/>
      <c r="I87" s="137"/>
      <c r="J87" s="137"/>
      <c r="K87" s="137"/>
      <c r="L87" s="137"/>
    </row>
    <row r="88" spans="2:12" ht="15.75" hidden="1" customHeight="1">
      <c r="B88" s="153" t="s">
        <v>61</v>
      </c>
      <c r="C88" s="154">
        <v>0.03</v>
      </c>
      <c r="D88" s="137"/>
      <c r="E88" s="137"/>
      <c r="F88" s="137"/>
      <c r="G88" s="137"/>
      <c r="I88" s="137"/>
      <c r="J88" s="137"/>
      <c r="K88" s="137"/>
      <c r="L88" s="137"/>
    </row>
    <row r="89" spans="2:12" ht="15.75" hidden="1" customHeight="1">
      <c r="B89" s="153" t="s">
        <v>62</v>
      </c>
      <c r="C89" s="154">
        <v>0.03</v>
      </c>
      <c r="D89" s="137"/>
      <c r="E89" s="137"/>
      <c r="F89" s="137"/>
      <c r="G89" s="137"/>
      <c r="I89" s="137"/>
      <c r="J89" s="137"/>
      <c r="K89" s="137"/>
      <c r="L89" s="137"/>
    </row>
    <row r="90" spans="2:12" ht="15.75" hidden="1" customHeight="1">
      <c r="D90" s="137"/>
      <c r="E90" s="137"/>
      <c r="F90" s="137"/>
      <c r="G90" s="137"/>
      <c r="H90" s="137"/>
      <c r="I90" s="137"/>
      <c r="J90" s="137"/>
      <c r="L90" s="137"/>
    </row>
    <row r="91" spans="2:12" ht="15.75" hidden="1" customHeight="1">
      <c r="B91" s="153" t="s">
        <v>54</v>
      </c>
      <c r="C91" s="157" t="s">
        <v>55</v>
      </c>
      <c r="D91" s="137"/>
      <c r="E91" s="137"/>
      <c r="F91" s="137"/>
      <c r="G91" s="137"/>
      <c r="H91" s="137"/>
      <c r="I91" s="137"/>
      <c r="J91" s="137"/>
      <c r="L91" s="149"/>
    </row>
    <row r="92" spans="2:12" ht="15.75" hidden="1" customHeight="1">
      <c r="B92" s="153" t="s">
        <v>56</v>
      </c>
      <c r="C92" s="157" t="s">
        <v>57</v>
      </c>
      <c r="D92" s="137"/>
      <c r="E92" s="137"/>
      <c r="F92" s="137"/>
      <c r="G92" s="137"/>
    </row>
    <row r="93" spans="2:12" ht="15.75" hidden="1" customHeight="1">
      <c r="B93" s="137"/>
      <c r="C93" s="137"/>
      <c r="D93" s="137"/>
      <c r="E93" s="137"/>
      <c r="F93" s="137"/>
      <c r="G93" s="137"/>
    </row>
    <row r="94" spans="2:12" ht="15.75" hidden="1" customHeight="1">
      <c r="B94" s="405" t="s">
        <v>19</v>
      </c>
      <c r="C94" s="405"/>
      <c r="D94" s="405"/>
    </row>
    <row r="95" spans="2:12" ht="15.75" hidden="1" customHeight="1">
      <c r="B95" s="416" t="s">
        <v>22</v>
      </c>
      <c r="C95" s="417"/>
      <c r="D95" s="418"/>
      <c r="G95" s="180">
        <v>0</v>
      </c>
    </row>
    <row r="96" spans="2:12" ht="15.75" hidden="1" customHeight="1">
      <c r="B96" s="401" t="s">
        <v>188</v>
      </c>
      <c r="C96" s="402"/>
      <c r="D96" s="403"/>
      <c r="G96" s="181">
        <f>'Tabelle 1'!D20</f>
        <v>0</v>
      </c>
    </row>
    <row r="97" spans="2:7" ht="15.75" hidden="1" customHeight="1">
      <c r="B97" s="404"/>
      <c r="C97" s="405"/>
      <c r="D97" s="406"/>
      <c r="G97" s="182">
        <f>G96*12/C25</f>
        <v>0</v>
      </c>
    </row>
    <row r="98" spans="2:7" ht="15.75" hidden="1" customHeight="1"/>
    <row r="99" spans="2:7" ht="15.75" hidden="1" customHeight="1">
      <c r="B99" s="171" t="s">
        <v>39</v>
      </c>
      <c r="C99" s="173">
        <v>0</v>
      </c>
      <c r="D99" s="165">
        <v>0</v>
      </c>
      <c r="E99" s="137"/>
      <c r="F99" s="137"/>
      <c r="G99" s="137"/>
    </row>
    <row r="100" spans="2:7" ht="15.75" hidden="1" customHeight="1">
      <c r="B100" s="172" t="s">
        <v>189</v>
      </c>
      <c r="C100" s="163"/>
      <c r="D100" s="140"/>
      <c r="E100" s="137"/>
      <c r="F100" s="137"/>
      <c r="G100" s="137"/>
    </row>
    <row r="101" spans="2:7" ht="15" hidden="1" customHeight="1"/>
    <row r="102" spans="2:7" ht="15" hidden="1" customHeight="1"/>
    <row r="103" spans="2:7" ht="15" hidden="1" customHeight="1"/>
    <row r="104" spans="2:7" ht="15" hidden="1" customHeight="1"/>
    <row r="105" spans="2:7" ht="15" hidden="1" customHeight="1"/>
    <row r="106" spans="2:7" ht="15" hidden="1" customHeight="1"/>
    <row r="107" spans="2:7" ht="15" hidden="1" customHeight="1"/>
    <row r="108" spans="2:7" ht="15" hidden="1" customHeight="1"/>
    <row r="109" spans="2:7" ht="15" hidden="1" customHeight="1"/>
    <row r="110" spans="2:7" ht="15" hidden="1" customHeight="1"/>
    <row r="111" spans="2:7" ht="15" hidden="1" customHeight="1"/>
    <row r="112" spans="2:7" ht="15" hidden="1" customHeight="1"/>
    <row r="113" ht="15" hidden="1" customHeight="1"/>
    <row r="114" ht="15" hidden="1" customHeight="1"/>
    <row r="115" ht="15" hidden="1" customHeight="1"/>
    <row r="116" ht="15" hidden="1" customHeight="1"/>
    <row r="117" ht="15" hidden="1" customHeight="1"/>
    <row r="118" ht="15" hidden="1" customHeight="1"/>
    <row r="119" ht="15" hidden="1" customHeight="1"/>
    <row r="120" ht="15" hidden="1" customHeight="1"/>
    <row r="121" ht="15" hidden="1" customHeight="1"/>
    <row r="122" ht="15" hidden="1" customHeight="1"/>
    <row r="123" ht="15" hidden="1" customHeight="1"/>
    <row r="124" ht="15" hidden="1" customHeight="1"/>
    <row r="125" ht="15" hidden="1" customHeight="1"/>
    <row r="126" ht="15" hidden="1" customHeight="1"/>
    <row r="127" ht="15" hidden="1" customHeight="1"/>
    <row r="128" ht="15" hidden="1" customHeight="1"/>
    <row r="129" ht="15" hidden="1" customHeight="1"/>
    <row r="130" ht="15" hidden="1" customHeight="1"/>
    <row r="131" ht="15" hidden="1" customHeight="1"/>
    <row r="132" ht="15" hidden="1" customHeight="1"/>
    <row r="133" ht="15" hidden="1" customHeight="1"/>
    <row r="134" ht="15" hidden="1" customHeight="1"/>
    <row r="135" ht="15" hidden="1" customHeight="1"/>
    <row r="136" ht="15" hidden="1" customHeight="1"/>
    <row r="137" ht="15" hidden="1" customHeight="1"/>
    <row r="138" ht="15" hidden="1" customHeight="1"/>
    <row r="139" ht="15" hidden="1" customHeight="1"/>
    <row r="140" ht="15" hidden="1" customHeight="1"/>
    <row r="141" ht="15" hidden="1" customHeight="1"/>
    <row r="142" ht="15" hidden="1" customHeight="1"/>
    <row r="143" ht="15" hidden="1" customHeight="1"/>
    <row r="144" ht="15" hidden="1" customHeight="1"/>
    <row r="145" ht="15" hidden="1" customHeight="1"/>
    <row r="146" ht="15" hidden="1" customHeight="1"/>
    <row r="147" ht="15" hidden="1" customHeight="1"/>
    <row r="148" ht="15" hidden="1" customHeight="1"/>
    <row r="149" ht="15" hidden="1" customHeight="1"/>
    <row r="150" ht="15" hidden="1" customHeight="1"/>
    <row r="151" ht="15" hidden="1" customHeight="1"/>
    <row r="152" ht="15" hidden="1" customHeight="1"/>
    <row r="153" ht="15" hidden="1" customHeight="1"/>
    <row r="154" ht="15" hidden="1" customHeight="1"/>
    <row r="155" ht="15" hidden="1" customHeight="1"/>
    <row r="156" ht="15" hidden="1" customHeight="1"/>
    <row r="157" ht="15" hidden="1" customHeight="1"/>
    <row r="158" ht="15" hidden="1" customHeight="1"/>
    <row r="159" ht="15" hidden="1" customHeight="1"/>
    <row r="160" ht="15" hidden="1" customHeight="1"/>
    <row r="161" ht="15" hidden="1" customHeight="1"/>
    <row r="162" ht="15" hidden="1" customHeight="1"/>
    <row r="163" ht="15" hidden="1" customHeight="1"/>
    <row r="164" ht="15" hidden="1" customHeight="1"/>
    <row r="165" ht="15" hidden="1" customHeight="1"/>
    <row r="166" ht="15" hidden="1" customHeight="1"/>
    <row r="167" ht="15" hidden="1" customHeight="1"/>
    <row r="168" ht="15" hidden="1" customHeight="1"/>
    <row r="169" ht="15" hidden="1" customHeight="1"/>
    <row r="170" ht="15" hidden="1" customHeight="1"/>
    <row r="171" ht="15" hidden="1" customHeight="1"/>
    <row r="172" ht="15" hidden="1" customHeight="1"/>
    <row r="173" ht="15" hidden="1" customHeight="1"/>
    <row r="174" ht="15" hidden="1" customHeight="1"/>
    <row r="175" ht="15" hidden="1" customHeight="1"/>
    <row r="176" ht="15" hidden="1" customHeight="1"/>
    <row r="177" ht="15" hidden="1" customHeight="1"/>
    <row r="178" ht="15" hidden="1" customHeight="1"/>
    <row r="179" ht="15" hidden="1" customHeight="1"/>
    <row r="180" ht="15" hidden="1" customHeight="1"/>
    <row r="181" ht="15" hidden="1" customHeight="1"/>
    <row r="182" ht="15" hidden="1" customHeight="1"/>
    <row r="183" ht="15" hidden="1" customHeight="1"/>
    <row r="184" ht="15" hidden="1" customHeight="1"/>
    <row r="185" ht="15" hidden="1" customHeight="1"/>
    <row r="186" ht="15" hidden="1" customHeight="1"/>
    <row r="187" ht="15" hidden="1" customHeight="1"/>
    <row r="188" ht="15" hidden="1" customHeight="1"/>
    <row r="189" ht="15" hidden="1" customHeight="1"/>
    <row r="190" ht="15" hidden="1" customHeight="1"/>
    <row r="191" ht="15" hidden="1" customHeight="1"/>
    <row r="192" ht="15" hidden="1" customHeight="1"/>
    <row r="193" ht="15" hidden="1" customHeight="1"/>
    <row r="194" ht="15" hidden="1" customHeight="1"/>
    <row r="195" ht="15" hidden="1" customHeight="1"/>
    <row r="196" ht="15" hidden="1" customHeight="1"/>
    <row r="197" ht="15" hidden="1" customHeight="1"/>
    <row r="198" ht="15" hidden="1" customHeight="1"/>
    <row r="199" ht="15" hidden="1" customHeight="1"/>
    <row r="200" ht="15" hidden="1" customHeight="1"/>
    <row r="201" ht="15" hidden="1" customHeight="1"/>
    <row r="202" ht="15" hidden="1" customHeight="1"/>
    <row r="203" ht="15" hidden="1" customHeight="1"/>
    <row r="204" ht="15" hidden="1" customHeight="1"/>
    <row r="205" ht="15" hidden="1" customHeight="1"/>
    <row r="206" ht="15" hidden="1" customHeight="1"/>
    <row r="207" ht="15" hidden="1" customHeight="1"/>
    <row r="208" ht="15" hidden="1" customHeight="1"/>
    <row r="209" ht="15" hidden="1" customHeight="1"/>
    <row r="210" ht="15" hidden="1" customHeight="1"/>
    <row r="211" ht="15" hidden="1" customHeight="1"/>
    <row r="212" ht="15" hidden="1" customHeight="1"/>
    <row r="213" ht="15" hidden="1" customHeight="1"/>
    <row r="214" ht="15" hidden="1" customHeight="1"/>
    <row r="215" ht="15" hidden="1" customHeight="1"/>
    <row r="216" ht="15" hidden="1" customHeight="1"/>
    <row r="217" ht="15" hidden="1" customHeight="1"/>
    <row r="218" ht="15" hidden="1" customHeight="1"/>
    <row r="219" ht="15" hidden="1" customHeight="1"/>
    <row r="220" ht="15" hidden="1" customHeight="1"/>
    <row r="221" ht="15" hidden="1" customHeight="1"/>
    <row r="222" ht="15" hidden="1" customHeight="1"/>
    <row r="223" ht="15" hidden="1" customHeight="1"/>
    <row r="224" ht="15" hidden="1" customHeight="1"/>
    <row r="225" ht="15" hidden="1" customHeight="1"/>
    <row r="226" ht="15" hidden="1" customHeight="1"/>
    <row r="227" ht="15" hidden="1" customHeight="1"/>
    <row r="228" ht="15" hidden="1" customHeight="1"/>
    <row r="229" ht="15" hidden="1" customHeight="1"/>
    <row r="230" ht="15" hidden="1" customHeight="1"/>
    <row r="231" ht="15" hidden="1" customHeight="1"/>
    <row r="232" ht="15" hidden="1" customHeight="1"/>
    <row r="233" ht="15" hidden="1" customHeight="1"/>
    <row r="234" ht="15" hidden="1" customHeight="1"/>
    <row r="235" ht="15" hidden="1" customHeight="1"/>
    <row r="236" ht="15" hidden="1" customHeight="1"/>
    <row r="237" ht="15" hidden="1" customHeight="1"/>
    <row r="238" ht="15" hidden="1" customHeight="1"/>
    <row r="239" ht="15" hidden="1" customHeight="1"/>
    <row r="240" ht="15" hidden="1" customHeight="1"/>
    <row r="241" ht="15" hidden="1" customHeight="1"/>
    <row r="242" ht="15" hidden="1" customHeight="1"/>
    <row r="243" ht="15" hidden="1" customHeight="1"/>
    <row r="244" ht="15" hidden="1" customHeight="1"/>
    <row r="245" ht="15" hidden="1" customHeight="1"/>
    <row r="246" ht="15" hidden="1" customHeight="1"/>
    <row r="247" ht="15" hidden="1" customHeight="1"/>
    <row r="248" ht="15" hidden="1" customHeight="1"/>
    <row r="249" ht="15" hidden="1" customHeight="1"/>
    <row r="250" ht="15" hidden="1" customHeight="1"/>
    <row r="251" ht="15" hidden="1" customHeight="1"/>
    <row r="252" ht="15" hidden="1" customHeight="1"/>
    <row r="253" ht="15" hidden="1" customHeight="1"/>
    <row r="254" ht="15" hidden="1" customHeight="1"/>
    <row r="255" ht="15" hidden="1" customHeight="1"/>
    <row r="256" ht="15" hidden="1" customHeight="1"/>
    <row r="257" ht="15" hidden="1" customHeight="1"/>
    <row r="258" ht="15" hidden="1" customHeight="1"/>
    <row r="259" ht="15" hidden="1" customHeight="1"/>
    <row r="260" ht="15" hidden="1" customHeight="1"/>
    <row r="261" ht="15" hidden="1" customHeight="1"/>
    <row r="262" ht="15" hidden="1" customHeight="1"/>
    <row r="263" ht="15" hidden="1" customHeight="1"/>
    <row r="264" ht="15" hidden="1" customHeight="1"/>
    <row r="265" ht="15" hidden="1" customHeight="1"/>
    <row r="266" ht="15" hidden="1" customHeight="1"/>
    <row r="267" ht="15" hidden="1" customHeight="1"/>
    <row r="268" ht="15" hidden="1" customHeight="1"/>
    <row r="269" ht="15" hidden="1" customHeight="1"/>
    <row r="270" ht="15" hidden="1" customHeight="1"/>
    <row r="271" ht="15" hidden="1" customHeight="1"/>
    <row r="272" ht="15" hidden="1" customHeight="1"/>
    <row r="273" ht="15" hidden="1" customHeight="1"/>
    <row r="274" ht="15" hidden="1" customHeight="1"/>
    <row r="275" ht="15" hidden="1" customHeight="1"/>
    <row r="276" ht="15" hidden="1" customHeight="1"/>
    <row r="277" ht="15" hidden="1" customHeight="1"/>
    <row r="278" ht="15" hidden="1" customHeight="1"/>
    <row r="279" ht="15" hidden="1" customHeight="1"/>
    <row r="280" ht="15" hidden="1" customHeight="1"/>
    <row r="281" ht="15" hidden="1" customHeight="1"/>
    <row r="282" ht="15" hidden="1" customHeight="1"/>
    <row r="283" ht="15" hidden="1" customHeight="1"/>
    <row r="284" ht="15" hidden="1" customHeight="1"/>
    <row r="285" ht="15" hidden="1" customHeight="1"/>
    <row r="286" ht="15" hidden="1" customHeight="1"/>
    <row r="287" ht="15" hidden="1" customHeight="1"/>
    <row r="288" ht="15" hidden="1" customHeight="1"/>
    <row r="289" ht="15" hidden="1" customHeight="1"/>
    <row r="290" ht="15" hidden="1" customHeight="1"/>
    <row r="291" ht="15" hidden="1" customHeight="1"/>
    <row r="292" ht="15" hidden="1" customHeight="1"/>
    <row r="293" ht="15" hidden="1" customHeight="1"/>
    <row r="294" ht="15" hidden="1" customHeight="1"/>
    <row r="295" ht="15" hidden="1" customHeight="1"/>
    <row r="296" ht="15" hidden="1" customHeight="1"/>
    <row r="297" ht="15" hidden="1" customHeight="1"/>
    <row r="298" ht="15" hidden="1" customHeight="1"/>
    <row r="299" ht="15" hidden="1" customHeight="1"/>
    <row r="300" ht="15" hidden="1" customHeight="1"/>
    <row r="301" ht="15" hidden="1" customHeight="1"/>
    <row r="302" ht="15" hidden="1" customHeight="1"/>
    <row r="303" ht="15" hidden="1" customHeight="1"/>
    <row r="304" ht="15" hidden="1" customHeight="1"/>
    <row r="305" ht="15" hidden="1" customHeight="1"/>
    <row r="306" ht="15" hidden="1" customHeight="1"/>
    <row r="307" ht="15" hidden="1" customHeight="1"/>
    <row r="308" ht="15" hidden="1" customHeight="1"/>
    <row r="309" ht="15" hidden="1" customHeight="1"/>
    <row r="310" ht="15" hidden="1" customHeight="1"/>
    <row r="311" ht="15" hidden="1" customHeight="1"/>
    <row r="312" ht="15" hidden="1" customHeight="1"/>
    <row r="313" ht="15" hidden="1" customHeight="1"/>
    <row r="314" ht="15" hidden="1" customHeight="1"/>
    <row r="315" ht="15" hidden="1" customHeight="1"/>
    <row r="316" ht="15" hidden="1" customHeight="1"/>
    <row r="317" ht="15" hidden="1" customHeight="1"/>
    <row r="318" ht="15" hidden="1" customHeight="1"/>
    <row r="319" ht="15" hidden="1" customHeight="1"/>
    <row r="320" ht="15" hidden="1" customHeight="1"/>
    <row r="321" ht="15" hidden="1" customHeight="1"/>
    <row r="322" ht="15" hidden="1" customHeight="1"/>
    <row r="323" ht="15" hidden="1" customHeight="1"/>
    <row r="324" ht="15" hidden="1" customHeight="1"/>
    <row r="325" ht="15" hidden="1" customHeight="1"/>
    <row r="326" ht="15" hidden="1" customHeight="1"/>
    <row r="327" ht="15" hidden="1" customHeight="1"/>
    <row r="328" ht="15" hidden="1" customHeight="1"/>
    <row r="329" ht="15" hidden="1" customHeight="1"/>
    <row r="330" ht="15" hidden="1" customHeight="1"/>
    <row r="331" ht="15" hidden="1" customHeight="1"/>
    <row r="332" ht="15" hidden="1" customHeight="1"/>
    <row r="333" ht="15" hidden="1" customHeight="1"/>
    <row r="334" ht="15" hidden="1" customHeight="1"/>
    <row r="335" ht="15" hidden="1" customHeight="1"/>
    <row r="336" ht="15" hidden="1" customHeight="1"/>
    <row r="337" ht="15" hidden="1" customHeight="1"/>
    <row r="338" ht="15" hidden="1" customHeight="1"/>
    <row r="339" ht="15" hidden="1" customHeight="1"/>
    <row r="340" ht="15" hidden="1" customHeight="1"/>
    <row r="341" ht="15" hidden="1" customHeight="1"/>
    <row r="342" ht="15" hidden="1" customHeight="1"/>
    <row r="343" ht="15" hidden="1" customHeight="1"/>
    <row r="344" ht="15" hidden="1" customHeight="1"/>
    <row r="345" ht="15" hidden="1" customHeight="1"/>
    <row r="346" ht="15" hidden="1" customHeight="1"/>
    <row r="347" ht="15" hidden="1" customHeight="1"/>
    <row r="348" ht="15" hidden="1" customHeight="1"/>
    <row r="349" ht="15" hidden="1" customHeight="1"/>
    <row r="350" ht="15" hidden="1" customHeight="1"/>
    <row r="351" ht="15" hidden="1" customHeight="1"/>
    <row r="352" ht="15" hidden="1" customHeight="1"/>
    <row r="353" ht="15" hidden="1" customHeight="1"/>
    <row r="354" ht="15" hidden="1" customHeight="1"/>
    <row r="355" ht="15" hidden="1" customHeight="1"/>
    <row r="356" ht="15" hidden="1" customHeight="1"/>
    <row r="357" ht="15" hidden="1" customHeight="1"/>
    <row r="358" ht="15" hidden="1" customHeight="1"/>
    <row r="359" ht="15" hidden="1" customHeight="1"/>
    <row r="360" ht="15" hidden="1" customHeight="1"/>
    <row r="361" ht="15" hidden="1" customHeight="1"/>
    <row r="362" ht="15" hidden="1" customHeight="1"/>
    <row r="363" ht="15" hidden="1" customHeight="1"/>
    <row r="364" ht="15" hidden="1" customHeight="1"/>
    <row r="365" ht="15" hidden="1" customHeight="1"/>
    <row r="366" ht="15" hidden="1" customHeight="1"/>
    <row r="367" ht="15" hidden="1" customHeight="1"/>
    <row r="368" ht="15" hidden="1" customHeight="1"/>
    <row r="369" ht="15" hidden="1" customHeight="1"/>
    <row r="370" ht="15" hidden="1" customHeight="1"/>
    <row r="371" ht="15" hidden="1" customHeight="1"/>
    <row r="372" ht="15" hidden="1" customHeight="1"/>
    <row r="373" ht="15" hidden="1" customHeight="1"/>
    <row r="374" ht="15" hidden="1" customHeight="1"/>
    <row r="375" ht="15" hidden="1" customHeight="1"/>
    <row r="376" ht="15" hidden="1" customHeight="1"/>
    <row r="377" ht="15" hidden="1" customHeight="1"/>
    <row r="378" ht="15" hidden="1" customHeight="1"/>
    <row r="379" ht="15" hidden="1" customHeight="1"/>
    <row r="380" ht="15" hidden="1" customHeight="1"/>
    <row r="381" ht="15" hidden="1" customHeight="1"/>
    <row r="382" ht="15" hidden="1" customHeight="1"/>
    <row r="383" ht="15" hidden="1" customHeight="1"/>
    <row r="384" ht="15" hidden="1" customHeight="1"/>
    <row r="385" ht="15" hidden="1" customHeight="1"/>
    <row r="386" ht="15" hidden="1" customHeight="1"/>
    <row r="387" ht="15" hidden="1" customHeight="1"/>
    <row r="388" ht="15" hidden="1" customHeight="1"/>
    <row r="389" ht="15" hidden="1" customHeight="1"/>
    <row r="390" ht="15" hidden="1" customHeight="1"/>
    <row r="391" ht="15" hidden="1" customHeight="1"/>
    <row r="392" ht="15" hidden="1" customHeight="1"/>
    <row r="393" ht="15" hidden="1" customHeight="1"/>
    <row r="394" ht="15" hidden="1" customHeight="1"/>
    <row r="395" ht="15" hidden="1" customHeight="1"/>
    <row r="396" ht="15" hidden="1" customHeight="1"/>
    <row r="397" ht="15" hidden="1" customHeight="1"/>
    <row r="398" ht="15" hidden="1" customHeight="1"/>
    <row r="399" ht="15" hidden="1" customHeight="1"/>
    <row r="400" ht="15" hidden="1" customHeight="1"/>
    <row r="401" ht="15" hidden="1" customHeight="1"/>
    <row r="402" ht="15" hidden="1" customHeight="1"/>
    <row r="403" ht="15" hidden="1" customHeight="1"/>
    <row r="404" ht="15" hidden="1" customHeight="1"/>
    <row r="405" ht="15" hidden="1" customHeight="1"/>
    <row r="406" ht="15" hidden="1" customHeight="1"/>
    <row r="407" ht="15" hidden="1" customHeight="1"/>
    <row r="408" ht="15" hidden="1" customHeight="1"/>
    <row r="409" ht="15" hidden="1" customHeight="1"/>
    <row r="410" ht="15" hidden="1" customHeight="1"/>
    <row r="411" ht="15" hidden="1" customHeight="1"/>
    <row r="412" ht="15" hidden="1" customHeight="1"/>
    <row r="413" ht="15" hidden="1" customHeight="1"/>
    <row r="414" ht="15" hidden="1" customHeight="1"/>
    <row r="415" ht="15" hidden="1" customHeight="1"/>
    <row r="416" ht="15" hidden="1" customHeight="1"/>
    <row r="417" ht="15" hidden="1" customHeight="1"/>
    <row r="418" ht="15" hidden="1" customHeight="1"/>
    <row r="419" ht="15" hidden="1" customHeight="1"/>
    <row r="420" ht="15" hidden="1" customHeight="1"/>
    <row r="421" ht="15" hidden="1" customHeight="1"/>
    <row r="422" ht="15" hidden="1" customHeight="1"/>
    <row r="423" ht="15" hidden="1" customHeight="1"/>
    <row r="424" ht="15" hidden="1" customHeight="1"/>
    <row r="425" ht="15" hidden="1" customHeight="1"/>
    <row r="426" ht="15" hidden="1" customHeight="1"/>
    <row r="427" ht="15" hidden="1" customHeight="1"/>
    <row r="428" ht="15" hidden="1" customHeight="1"/>
    <row r="429" ht="15" hidden="1" customHeight="1"/>
    <row r="430" ht="15" hidden="1" customHeight="1"/>
    <row r="431" ht="15" hidden="1" customHeight="1"/>
    <row r="432" ht="15" hidden="1" customHeight="1"/>
    <row r="433" ht="15" hidden="1" customHeight="1"/>
    <row r="434" ht="15" hidden="1" customHeight="1"/>
    <row r="435" ht="15" hidden="1" customHeight="1"/>
    <row r="436" ht="15" hidden="1" customHeight="1"/>
    <row r="437" ht="15" hidden="1" customHeight="1"/>
    <row r="438" ht="15" hidden="1" customHeight="1"/>
    <row r="439" ht="15" hidden="1" customHeight="1"/>
    <row r="440" ht="15" hidden="1" customHeight="1"/>
    <row r="441" ht="15" hidden="1" customHeight="1"/>
    <row r="442" ht="15" hidden="1" customHeight="1"/>
    <row r="443" ht="15" hidden="1" customHeight="1"/>
    <row r="444" ht="15" hidden="1" customHeight="1"/>
    <row r="445" ht="15" hidden="1" customHeight="1"/>
    <row r="446" ht="15" hidden="1" customHeight="1"/>
    <row r="447" ht="15" hidden="1" customHeight="1"/>
    <row r="448" ht="15" hidden="1" customHeight="1"/>
    <row r="449" ht="15" hidden="1" customHeight="1"/>
    <row r="450" ht="15" hidden="1" customHeight="1"/>
    <row r="451" ht="15" hidden="1" customHeight="1"/>
    <row r="452" ht="15" hidden="1" customHeight="1"/>
    <row r="453" ht="15" hidden="1" customHeight="1"/>
    <row r="454" ht="15" hidden="1" customHeight="1"/>
    <row r="455" ht="15" hidden="1" customHeight="1"/>
    <row r="456" ht="15" hidden="1" customHeight="1"/>
    <row r="457" ht="15" hidden="1" customHeight="1"/>
    <row r="458" ht="15" hidden="1" customHeight="1"/>
    <row r="459" ht="15" hidden="1" customHeight="1"/>
    <row r="460" ht="15" hidden="1" customHeight="1"/>
    <row r="461" ht="15" hidden="1" customHeight="1"/>
    <row r="462" ht="15" hidden="1" customHeight="1"/>
    <row r="463" ht="15" hidden="1" customHeight="1"/>
    <row r="464" ht="15" hidden="1" customHeight="1"/>
    <row r="465" ht="15" hidden="1" customHeight="1"/>
    <row r="466" ht="15" hidden="1" customHeight="1"/>
    <row r="467" ht="15" hidden="1" customHeight="1"/>
    <row r="468" ht="15" hidden="1" customHeight="1"/>
    <row r="469" ht="15" hidden="1" customHeight="1"/>
    <row r="470" ht="15" hidden="1" customHeight="1"/>
    <row r="471" ht="15" hidden="1" customHeight="1"/>
    <row r="472" ht="15" hidden="1" customHeight="1"/>
    <row r="473" ht="15" hidden="1" customHeight="1"/>
    <row r="474" ht="15" hidden="1" customHeight="1"/>
    <row r="475" ht="15" hidden="1" customHeight="1"/>
    <row r="476" ht="15" hidden="1" customHeight="1"/>
    <row r="477" ht="15" hidden="1" customHeight="1"/>
    <row r="478" ht="15" hidden="1" customHeight="1"/>
    <row r="479" ht="15" hidden="1" customHeight="1"/>
    <row r="480" ht="15" hidden="1" customHeight="1"/>
    <row r="481" ht="15" hidden="1" customHeight="1"/>
    <row r="482" ht="15" hidden="1" customHeight="1"/>
    <row r="483" ht="15" hidden="1" customHeight="1"/>
    <row r="484" ht="15" hidden="1" customHeight="1"/>
    <row r="485" ht="15" hidden="1" customHeight="1"/>
    <row r="486" ht="15" hidden="1" customHeight="1"/>
    <row r="487" ht="15" hidden="1" customHeight="1"/>
    <row r="488" ht="15" hidden="1" customHeight="1"/>
    <row r="489" ht="15" hidden="1" customHeight="1"/>
    <row r="490" ht="15" hidden="1" customHeight="1"/>
    <row r="491" ht="15" hidden="1" customHeight="1"/>
    <row r="492" ht="15" hidden="1" customHeight="1"/>
    <row r="493" ht="15" hidden="1" customHeight="1"/>
    <row r="494" ht="15" hidden="1" customHeight="1"/>
    <row r="495" ht="15" hidden="1" customHeight="1"/>
    <row r="496" ht="15" hidden="1" customHeight="1"/>
  </sheetData>
  <sheetProtection algorithmName="SHA-512" hashValue="97VITIYLN+VDyKg/0eqREetkfDZdvzCGiMTYhHVZxZq67v4H83mK2CHTyT5shl1b1bIooEv4Og1CxpF/YIsuNA==" saltValue="Hh9D11XYOvBHuYoe0GQKkA==" spinCount="100000" sheet="1" objects="1" scenarios="1" selectLockedCells="1"/>
  <mergeCells count="10">
    <mergeCell ref="B96:D97"/>
    <mergeCell ref="F40:J40"/>
    <mergeCell ref="F46:J46"/>
    <mergeCell ref="E2:F3"/>
    <mergeCell ref="H3:J9"/>
    <mergeCell ref="H10:J11"/>
    <mergeCell ref="B95:D95"/>
    <mergeCell ref="B94:D94"/>
    <mergeCell ref="H27:J27"/>
    <mergeCell ref="H28:J28"/>
  </mergeCells>
  <conditionalFormatting sqref="C26:C37">
    <cfRule type="cellIs" dxfId="9" priority="13" operator="greaterThan">
      <formula>0</formula>
    </cfRule>
    <cfRule type="cellIs" dxfId="8" priority="14" operator="lessThan">
      <formula>0</formula>
    </cfRule>
  </conditionalFormatting>
  <conditionalFormatting sqref="G44:J44">
    <cfRule type="cellIs" dxfId="7" priority="11" operator="greaterThan">
      <formula>0</formula>
    </cfRule>
    <cfRule type="cellIs" dxfId="6" priority="12" operator="lessThan">
      <formula>0</formula>
    </cfRule>
  </conditionalFormatting>
  <conditionalFormatting sqref="J48:J53">
    <cfRule type="cellIs" dxfId="5" priority="7" operator="greaterThan">
      <formula>0</formula>
    </cfRule>
    <cfRule type="cellIs" dxfId="4" priority="8" operator="lessThan">
      <formula>0</formula>
    </cfRule>
  </conditionalFormatting>
  <conditionalFormatting sqref="J55">
    <cfRule type="cellIs" dxfId="3" priority="1" operator="greaterThan">
      <formula>0</formula>
    </cfRule>
    <cfRule type="cellIs" dxfId="2" priority="2" operator="lessThan">
      <formula>0</formula>
    </cfRule>
  </conditionalFormatting>
  <conditionalFormatting sqref="L48:L53">
    <cfRule type="cellIs" dxfId="1" priority="3" operator="lessThan">
      <formula>0</formula>
    </cfRule>
    <cfRule type="cellIs" dxfId="0" priority="4" operator="greaterThan">
      <formula>0</formula>
    </cfRule>
  </conditionalFormatting>
  <dataValidations count="2">
    <dataValidation type="list" allowBlank="1" sqref="C91:C92" xr:uid="{00000000-0002-0000-0100-000000000000}">
      <formula1>"ja,nein"</formula1>
    </dataValidation>
    <dataValidation type="list" allowBlank="1" sqref="C2" xr:uid="{00000000-0002-0000-0100-000002000000}">
      <formula1>"ledig,verheiratet"</formula1>
    </dataValidation>
  </dataValidations>
  <hyperlinks>
    <hyperlink ref="H26" r:id="rId1" xr:uid="{A5AEC665-8FAA-4D3E-8835-746CCE69F279}"/>
  </hyperlinks>
  <pageMargins left="0.7" right="0.7" top="0.78740157499999996" bottom="0.78740157499999996" header="0" footer="0"/>
  <pageSetup paperSize="9" fitToHeight="0" orientation="landscape"/>
  <ignoredErrors>
    <ignoredError sqref="C36 C28" formula="1"/>
    <ignoredError sqref="D18" unlockedFormula="1"/>
  </ignoredError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G50"/>
  <sheetViews>
    <sheetView workbookViewId="0">
      <selection activeCell="G27" sqref="G27:J33"/>
    </sheetView>
  </sheetViews>
  <sheetFormatPr baseColWidth="10" defaultColWidth="11.1796875" defaultRowHeight="15" customHeight="1" outlineLevelRow="1"/>
  <cols>
    <col min="1" max="6" width="11.1796875" customWidth="1"/>
  </cols>
  <sheetData>
    <row r="1" spans="1:7" ht="15.6">
      <c r="A1" s="421" t="s">
        <v>0</v>
      </c>
      <c r="B1" s="422"/>
      <c r="C1" s="422"/>
      <c r="D1" s="422"/>
      <c r="E1" s="422"/>
      <c r="F1" s="422"/>
      <c r="G1" s="2" t="s">
        <v>1</v>
      </c>
    </row>
    <row r="2" spans="1:7" ht="15.6" outlineLevel="1">
      <c r="A2" s="423" t="s">
        <v>2</v>
      </c>
      <c r="B2" s="422"/>
      <c r="C2" s="422"/>
      <c r="D2" s="422"/>
      <c r="E2" s="422"/>
      <c r="F2" s="422"/>
      <c r="G2" s="3" t="s">
        <v>3</v>
      </c>
    </row>
    <row r="3" spans="1:7" ht="15.6">
      <c r="A3" s="421" t="s">
        <v>4</v>
      </c>
      <c r="B3" s="422"/>
      <c r="C3" s="422"/>
      <c r="D3" s="422"/>
      <c r="E3" s="422"/>
      <c r="F3" s="422"/>
      <c r="G3" s="2" t="s">
        <v>1</v>
      </c>
    </row>
    <row r="4" spans="1:7" ht="15.6" outlineLevel="1">
      <c r="A4" s="423" t="s">
        <v>5</v>
      </c>
      <c r="B4" s="422"/>
      <c r="C4" s="422"/>
      <c r="D4" s="422"/>
      <c r="E4" s="422"/>
      <c r="F4" s="422"/>
      <c r="G4" s="3" t="s">
        <v>6</v>
      </c>
    </row>
    <row r="5" spans="1:7" ht="15.6" collapsed="1">
      <c r="A5" s="421" t="s">
        <v>7</v>
      </c>
      <c r="B5" s="422"/>
      <c r="C5" s="422"/>
      <c r="D5" s="422"/>
      <c r="E5" s="422"/>
      <c r="F5" s="422"/>
      <c r="G5" s="2" t="s">
        <v>1</v>
      </c>
    </row>
    <row r="6" spans="1:7" ht="15.6" hidden="1" outlineLevel="1">
      <c r="A6" s="423" t="s">
        <v>7</v>
      </c>
      <c r="B6" s="422"/>
      <c r="C6" s="422"/>
      <c r="D6" s="422"/>
      <c r="E6" s="422"/>
      <c r="F6" s="422"/>
      <c r="G6" s="3" t="s">
        <v>7</v>
      </c>
    </row>
    <row r="7" spans="1:7" ht="15.6" collapsed="1">
      <c r="A7" s="421" t="s">
        <v>7</v>
      </c>
      <c r="B7" s="422"/>
      <c r="C7" s="422"/>
      <c r="D7" s="422"/>
      <c r="E7" s="422"/>
      <c r="F7" s="422"/>
      <c r="G7" s="2" t="s">
        <v>1</v>
      </c>
    </row>
    <row r="8" spans="1:7" ht="15.6" hidden="1" outlineLevel="1">
      <c r="A8" s="423" t="s">
        <v>7</v>
      </c>
      <c r="B8" s="422"/>
      <c r="C8" s="422"/>
      <c r="D8" s="422"/>
      <c r="E8" s="422"/>
      <c r="F8" s="422"/>
      <c r="G8" s="3" t="s">
        <v>7</v>
      </c>
    </row>
    <row r="9" spans="1:7" ht="15.6" collapsed="1">
      <c r="A9" s="421" t="s">
        <v>7</v>
      </c>
      <c r="B9" s="422"/>
      <c r="C9" s="422"/>
      <c r="D9" s="422"/>
      <c r="E9" s="422"/>
      <c r="F9" s="422"/>
      <c r="G9" s="2" t="s">
        <v>1</v>
      </c>
    </row>
    <row r="10" spans="1:7" ht="15.6" hidden="1" outlineLevel="1">
      <c r="A10" s="423" t="s">
        <v>7</v>
      </c>
      <c r="B10" s="422"/>
      <c r="C10" s="422"/>
      <c r="D10" s="422"/>
      <c r="E10" s="422"/>
      <c r="F10" s="422"/>
      <c r="G10" s="3" t="s">
        <v>7</v>
      </c>
    </row>
    <row r="11" spans="1:7" ht="15.6" collapsed="1">
      <c r="A11" s="421" t="s">
        <v>7</v>
      </c>
      <c r="B11" s="422"/>
      <c r="C11" s="422"/>
      <c r="D11" s="422"/>
      <c r="E11" s="422"/>
      <c r="F11" s="422"/>
      <c r="G11" s="2" t="s">
        <v>1</v>
      </c>
    </row>
    <row r="12" spans="1:7" ht="15.6" hidden="1" outlineLevel="1">
      <c r="A12" s="423" t="s">
        <v>7</v>
      </c>
      <c r="B12" s="422"/>
      <c r="C12" s="422"/>
      <c r="D12" s="422"/>
      <c r="E12" s="422"/>
      <c r="F12" s="422"/>
      <c r="G12" s="3" t="s">
        <v>7</v>
      </c>
    </row>
    <row r="13" spans="1:7" ht="15.6" collapsed="1">
      <c r="A13" s="421" t="s">
        <v>7</v>
      </c>
      <c r="B13" s="422"/>
      <c r="C13" s="422"/>
      <c r="D13" s="422"/>
      <c r="E13" s="422"/>
      <c r="F13" s="422"/>
      <c r="G13" s="2" t="s">
        <v>1</v>
      </c>
    </row>
    <row r="14" spans="1:7" ht="15.6" hidden="1" outlineLevel="1">
      <c r="A14" s="423" t="s">
        <v>7</v>
      </c>
      <c r="B14" s="422"/>
      <c r="C14" s="422"/>
      <c r="D14" s="422"/>
      <c r="E14" s="422"/>
      <c r="F14" s="422"/>
      <c r="G14" s="3" t="s">
        <v>7</v>
      </c>
    </row>
    <row r="15" spans="1:7" ht="15.6" collapsed="1">
      <c r="A15" s="421" t="s">
        <v>7</v>
      </c>
      <c r="B15" s="422"/>
      <c r="C15" s="422"/>
      <c r="D15" s="422"/>
      <c r="E15" s="422"/>
      <c r="F15" s="422"/>
      <c r="G15" s="2" t="s">
        <v>1</v>
      </c>
    </row>
    <row r="16" spans="1:7" ht="15.6" hidden="1" outlineLevel="1">
      <c r="A16" s="423" t="s">
        <v>7</v>
      </c>
      <c r="B16" s="422"/>
      <c r="C16" s="422"/>
      <c r="D16" s="422"/>
      <c r="E16" s="422"/>
      <c r="F16" s="422"/>
      <c r="G16" s="3" t="s">
        <v>7</v>
      </c>
    </row>
    <row r="17" spans="1:7" ht="15.6" collapsed="1">
      <c r="A17" s="421" t="s">
        <v>7</v>
      </c>
      <c r="B17" s="422"/>
      <c r="C17" s="422"/>
      <c r="D17" s="422"/>
      <c r="E17" s="422"/>
      <c r="F17" s="422"/>
      <c r="G17" s="2" t="s">
        <v>1</v>
      </c>
    </row>
    <row r="18" spans="1:7" ht="15.6" hidden="1" outlineLevel="1">
      <c r="A18" s="423" t="s">
        <v>7</v>
      </c>
      <c r="B18" s="422"/>
      <c r="C18" s="422"/>
      <c r="D18" s="422"/>
      <c r="E18" s="422"/>
      <c r="F18" s="422"/>
      <c r="G18" s="3" t="s">
        <v>7</v>
      </c>
    </row>
    <row r="19" spans="1:7" ht="15.6" collapsed="1">
      <c r="A19" s="421" t="s">
        <v>7</v>
      </c>
      <c r="B19" s="422"/>
      <c r="C19" s="422"/>
      <c r="D19" s="422"/>
      <c r="E19" s="422"/>
      <c r="F19" s="422"/>
      <c r="G19" s="2" t="s">
        <v>1</v>
      </c>
    </row>
    <row r="20" spans="1:7" ht="15.6" hidden="1" outlineLevel="1">
      <c r="A20" s="423" t="s">
        <v>7</v>
      </c>
      <c r="B20" s="422"/>
      <c r="C20" s="422"/>
      <c r="D20" s="422"/>
      <c r="E20" s="422"/>
      <c r="F20" s="422"/>
      <c r="G20" s="3" t="s">
        <v>7</v>
      </c>
    </row>
    <row r="21" spans="1:7" ht="15.75" customHeight="1" collapsed="1">
      <c r="A21" s="421" t="s">
        <v>7</v>
      </c>
      <c r="B21" s="422"/>
      <c r="C21" s="422"/>
      <c r="D21" s="422"/>
      <c r="E21" s="422"/>
      <c r="F21" s="422"/>
      <c r="G21" s="2" t="s">
        <v>1</v>
      </c>
    </row>
    <row r="22" spans="1:7" ht="15.75" hidden="1" customHeight="1" outlineLevel="1">
      <c r="A22" s="423" t="s">
        <v>7</v>
      </c>
      <c r="B22" s="422"/>
      <c r="C22" s="422"/>
      <c r="D22" s="422"/>
      <c r="E22" s="422"/>
      <c r="F22" s="422"/>
      <c r="G22" s="3" t="s">
        <v>7</v>
      </c>
    </row>
    <row r="23" spans="1:7" ht="15.75" customHeight="1" collapsed="1">
      <c r="A23" s="421" t="s">
        <v>7</v>
      </c>
      <c r="B23" s="422"/>
      <c r="C23" s="422"/>
      <c r="D23" s="422"/>
      <c r="E23" s="422"/>
      <c r="F23" s="422"/>
      <c r="G23" s="2" t="s">
        <v>1</v>
      </c>
    </row>
    <row r="24" spans="1:7" ht="15.75" hidden="1" customHeight="1" outlineLevel="1">
      <c r="A24" s="423" t="s">
        <v>7</v>
      </c>
      <c r="B24" s="422"/>
      <c r="C24" s="422"/>
      <c r="D24" s="422"/>
      <c r="E24" s="422"/>
      <c r="F24" s="422"/>
      <c r="G24" s="3" t="s">
        <v>7</v>
      </c>
    </row>
    <row r="25" spans="1:7" ht="15.75" customHeight="1" collapsed="1">
      <c r="A25" s="421" t="s">
        <v>7</v>
      </c>
      <c r="B25" s="422"/>
      <c r="C25" s="422"/>
      <c r="D25" s="422"/>
      <c r="E25" s="422"/>
      <c r="F25" s="422"/>
      <c r="G25" s="2" t="s">
        <v>1</v>
      </c>
    </row>
    <row r="26" spans="1:7" ht="15.75" hidden="1" customHeight="1" outlineLevel="1">
      <c r="A26" s="423" t="s">
        <v>7</v>
      </c>
      <c r="B26" s="422"/>
      <c r="C26" s="422"/>
      <c r="D26" s="422"/>
      <c r="E26" s="422"/>
      <c r="F26" s="422"/>
      <c r="G26" s="3" t="s">
        <v>7</v>
      </c>
    </row>
    <row r="27" spans="1:7" ht="15.75" customHeight="1" collapsed="1">
      <c r="A27" s="421" t="s">
        <v>7</v>
      </c>
      <c r="B27" s="422"/>
      <c r="C27" s="422"/>
      <c r="D27" s="422"/>
      <c r="E27" s="422"/>
      <c r="F27" s="422"/>
      <c r="G27" s="2" t="s">
        <v>1</v>
      </c>
    </row>
    <row r="28" spans="1:7" ht="15.75" hidden="1" customHeight="1" outlineLevel="1">
      <c r="A28" s="423" t="s">
        <v>7</v>
      </c>
      <c r="B28" s="422"/>
      <c r="C28" s="422"/>
      <c r="D28" s="422"/>
      <c r="E28" s="422"/>
      <c r="F28" s="422"/>
      <c r="G28" s="3" t="s">
        <v>7</v>
      </c>
    </row>
    <row r="29" spans="1:7" ht="15.75" customHeight="1" collapsed="1">
      <c r="A29" s="421" t="s">
        <v>7</v>
      </c>
      <c r="B29" s="422"/>
      <c r="C29" s="422"/>
      <c r="D29" s="422"/>
      <c r="E29" s="422"/>
      <c r="F29" s="422"/>
      <c r="G29" s="2" t="s">
        <v>1</v>
      </c>
    </row>
    <row r="30" spans="1:7" ht="15.75" hidden="1" customHeight="1" outlineLevel="1">
      <c r="A30" s="423" t="s">
        <v>7</v>
      </c>
      <c r="B30" s="422"/>
      <c r="C30" s="422"/>
      <c r="D30" s="422"/>
      <c r="E30" s="422"/>
      <c r="F30" s="422"/>
      <c r="G30" s="3" t="s">
        <v>7</v>
      </c>
    </row>
    <row r="31" spans="1:7" ht="15.75" customHeight="1" collapsed="1">
      <c r="A31" s="421" t="s">
        <v>7</v>
      </c>
      <c r="B31" s="422"/>
      <c r="C31" s="422"/>
      <c r="D31" s="422"/>
      <c r="E31" s="422"/>
      <c r="F31" s="422"/>
      <c r="G31" s="2" t="s">
        <v>1</v>
      </c>
    </row>
    <row r="32" spans="1:7" ht="15.75" hidden="1" customHeight="1" outlineLevel="1">
      <c r="A32" s="423" t="s">
        <v>7</v>
      </c>
      <c r="B32" s="422"/>
      <c r="C32" s="422"/>
      <c r="D32" s="422"/>
      <c r="E32" s="422"/>
      <c r="F32" s="422"/>
      <c r="G32" s="3" t="s">
        <v>7</v>
      </c>
    </row>
    <row r="33" spans="1:7" ht="15.75" customHeight="1" collapsed="1">
      <c r="A33" s="421" t="s">
        <v>7</v>
      </c>
      <c r="B33" s="422"/>
      <c r="C33" s="422"/>
      <c r="D33" s="422"/>
      <c r="E33" s="422"/>
      <c r="F33" s="422"/>
      <c r="G33" s="2" t="s">
        <v>1</v>
      </c>
    </row>
    <row r="34" spans="1:7" ht="15.75" hidden="1" customHeight="1" outlineLevel="1">
      <c r="A34" s="423" t="s">
        <v>7</v>
      </c>
      <c r="B34" s="422"/>
      <c r="C34" s="422"/>
      <c r="D34" s="422"/>
      <c r="E34" s="422"/>
      <c r="F34" s="422"/>
      <c r="G34" s="3" t="s">
        <v>7</v>
      </c>
    </row>
    <row r="35" spans="1:7" ht="15.75" customHeight="1">
      <c r="A35" s="421" t="s">
        <v>7</v>
      </c>
      <c r="B35" s="422"/>
      <c r="C35" s="422"/>
      <c r="D35" s="422"/>
      <c r="E35" s="422"/>
      <c r="F35" s="422"/>
      <c r="G35" s="2" t="s">
        <v>1</v>
      </c>
    </row>
    <row r="36" spans="1:7" ht="15.75" customHeight="1" collapsed="1">
      <c r="A36" s="421" t="s">
        <v>7</v>
      </c>
      <c r="B36" s="422"/>
      <c r="C36" s="422"/>
      <c r="D36" s="422"/>
      <c r="E36" s="422"/>
      <c r="F36" s="422"/>
      <c r="G36" s="2" t="s">
        <v>1</v>
      </c>
    </row>
    <row r="37" spans="1:7" ht="15.75" hidden="1" customHeight="1" outlineLevel="1">
      <c r="A37" s="423" t="s">
        <v>7</v>
      </c>
      <c r="B37" s="422"/>
      <c r="C37" s="422"/>
      <c r="D37" s="422"/>
      <c r="E37" s="422"/>
      <c r="F37" s="422"/>
      <c r="G37" s="3" t="s">
        <v>7</v>
      </c>
    </row>
    <row r="38" spans="1:7" ht="15.75" customHeight="1" collapsed="1">
      <c r="A38" s="421" t="s">
        <v>7</v>
      </c>
      <c r="B38" s="422"/>
      <c r="C38" s="422"/>
      <c r="D38" s="422"/>
      <c r="E38" s="422"/>
      <c r="F38" s="422"/>
      <c r="G38" s="2" t="s">
        <v>1</v>
      </c>
    </row>
    <row r="39" spans="1:7" ht="15.75" hidden="1" customHeight="1" outlineLevel="1">
      <c r="A39" s="423" t="s">
        <v>7</v>
      </c>
      <c r="B39" s="422"/>
      <c r="C39" s="422"/>
      <c r="D39" s="422"/>
      <c r="E39" s="422"/>
      <c r="F39" s="422"/>
      <c r="G39" s="3" t="s">
        <v>7</v>
      </c>
    </row>
    <row r="40" spans="1:7" ht="15.75" customHeight="1" collapsed="1">
      <c r="A40" s="421" t="s">
        <v>7</v>
      </c>
      <c r="B40" s="422"/>
      <c r="C40" s="422"/>
      <c r="D40" s="422"/>
      <c r="E40" s="422"/>
      <c r="F40" s="422"/>
      <c r="G40" s="2" t="s">
        <v>1</v>
      </c>
    </row>
    <row r="41" spans="1:7" ht="15.75" hidden="1" customHeight="1" outlineLevel="1">
      <c r="A41" s="423" t="s">
        <v>7</v>
      </c>
      <c r="B41" s="422"/>
      <c r="C41" s="422"/>
      <c r="D41" s="422"/>
      <c r="E41" s="422"/>
      <c r="F41" s="422"/>
      <c r="G41" s="3" t="s">
        <v>7</v>
      </c>
    </row>
    <row r="42" spans="1:7" ht="15.75" customHeight="1" collapsed="1">
      <c r="A42" s="421" t="s">
        <v>7</v>
      </c>
      <c r="B42" s="422"/>
      <c r="C42" s="422"/>
      <c r="D42" s="422"/>
      <c r="E42" s="422"/>
      <c r="F42" s="422"/>
      <c r="G42" s="2" t="s">
        <v>1</v>
      </c>
    </row>
    <row r="43" spans="1:7" ht="15.75" hidden="1" customHeight="1" outlineLevel="1">
      <c r="A43" s="423" t="s">
        <v>7</v>
      </c>
      <c r="B43" s="422"/>
      <c r="C43" s="422"/>
      <c r="D43" s="422"/>
      <c r="E43" s="422"/>
      <c r="F43" s="422"/>
      <c r="G43" s="3" t="s">
        <v>7</v>
      </c>
    </row>
    <row r="44" spans="1:7" ht="15.75" customHeight="1" collapsed="1">
      <c r="A44" s="421" t="s">
        <v>7</v>
      </c>
      <c r="B44" s="422"/>
      <c r="C44" s="422"/>
      <c r="D44" s="422"/>
      <c r="E44" s="422"/>
      <c r="F44" s="422"/>
      <c r="G44" s="2" t="s">
        <v>1</v>
      </c>
    </row>
    <row r="45" spans="1:7" ht="15.75" hidden="1" customHeight="1" outlineLevel="1">
      <c r="A45" s="423" t="s">
        <v>7</v>
      </c>
      <c r="B45" s="422"/>
      <c r="C45" s="422"/>
      <c r="D45" s="422"/>
      <c r="E45" s="422"/>
      <c r="F45" s="422"/>
      <c r="G45" s="3" t="s">
        <v>7</v>
      </c>
    </row>
    <row r="46" spans="1:7" ht="15.75" customHeight="1" collapsed="1">
      <c r="A46" s="421" t="s">
        <v>7</v>
      </c>
      <c r="B46" s="422"/>
      <c r="C46" s="422"/>
      <c r="D46" s="422"/>
      <c r="E46" s="422"/>
      <c r="F46" s="422"/>
      <c r="G46" s="2" t="s">
        <v>1</v>
      </c>
    </row>
    <row r="47" spans="1:7" ht="15.75" hidden="1" customHeight="1" outlineLevel="1">
      <c r="A47" s="423" t="s">
        <v>7</v>
      </c>
      <c r="B47" s="422"/>
      <c r="C47" s="422"/>
      <c r="D47" s="422"/>
      <c r="E47" s="422"/>
      <c r="F47" s="422"/>
      <c r="G47" s="3" t="s">
        <v>7</v>
      </c>
    </row>
    <row r="48" spans="1:7" ht="15.75" customHeight="1" collapsed="1">
      <c r="A48" s="421" t="s">
        <v>7</v>
      </c>
      <c r="B48" s="422"/>
      <c r="C48" s="422"/>
      <c r="D48" s="422"/>
      <c r="E48" s="422"/>
      <c r="F48" s="422"/>
      <c r="G48" s="2" t="s">
        <v>1</v>
      </c>
    </row>
    <row r="49" spans="1:7" ht="15.75" hidden="1" customHeight="1" outlineLevel="1">
      <c r="A49" s="423" t="s">
        <v>7</v>
      </c>
      <c r="B49" s="422"/>
      <c r="C49" s="422"/>
      <c r="D49" s="422"/>
      <c r="E49" s="422"/>
      <c r="F49" s="422"/>
      <c r="G49" s="3" t="s">
        <v>7</v>
      </c>
    </row>
    <row r="50" spans="1:7" ht="15.75" customHeight="1">
      <c r="A50" s="421" t="s">
        <v>7</v>
      </c>
      <c r="B50" s="422"/>
      <c r="C50" s="422"/>
      <c r="D50" s="422"/>
      <c r="E50" s="422"/>
      <c r="F50" s="422"/>
      <c r="G50" s="2" t="s">
        <v>1</v>
      </c>
    </row>
  </sheetData>
  <mergeCells count="50">
    <mergeCell ref="A1:F1"/>
    <mergeCell ref="A2:F2"/>
    <mergeCell ref="A3:F3"/>
    <mergeCell ref="A4:F4"/>
    <mergeCell ref="A5:F5"/>
    <mergeCell ref="A6:F6"/>
    <mergeCell ref="A7:F7"/>
    <mergeCell ref="A8:F8"/>
    <mergeCell ref="A9:F9"/>
    <mergeCell ref="A10:F10"/>
    <mergeCell ref="A11:F11"/>
    <mergeCell ref="A12:F12"/>
    <mergeCell ref="A13:F13"/>
    <mergeCell ref="A14:F14"/>
    <mergeCell ref="A15:F15"/>
    <mergeCell ref="A16:F16"/>
    <mergeCell ref="A17:F17"/>
    <mergeCell ref="A18:F18"/>
    <mergeCell ref="A19:F19"/>
    <mergeCell ref="A20:F20"/>
    <mergeCell ref="A21:F21"/>
    <mergeCell ref="A22:F22"/>
    <mergeCell ref="A23:F23"/>
    <mergeCell ref="A24:F24"/>
    <mergeCell ref="A25:F25"/>
    <mergeCell ref="A26:F26"/>
    <mergeCell ref="A27:F27"/>
    <mergeCell ref="A28:F28"/>
    <mergeCell ref="A29:F29"/>
    <mergeCell ref="A30:F30"/>
    <mergeCell ref="A31:F31"/>
    <mergeCell ref="A32:F32"/>
    <mergeCell ref="A33:F33"/>
    <mergeCell ref="A34:F34"/>
    <mergeCell ref="A35:F35"/>
    <mergeCell ref="A48:F48"/>
    <mergeCell ref="A49:F49"/>
    <mergeCell ref="A50:F50"/>
    <mergeCell ref="A36:F36"/>
    <mergeCell ref="A37:F37"/>
    <mergeCell ref="A38:F38"/>
    <mergeCell ref="A39:F39"/>
    <mergeCell ref="A40:F40"/>
    <mergeCell ref="A41:F41"/>
    <mergeCell ref="A42:F42"/>
    <mergeCell ref="A43:F43"/>
    <mergeCell ref="A44:F44"/>
    <mergeCell ref="A45:F45"/>
    <mergeCell ref="A46:F46"/>
    <mergeCell ref="A47:F47"/>
  </mergeCells>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V20"/>
  <sheetViews>
    <sheetView showGridLines="0" workbookViewId="0">
      <pane xSplit="1" ySplit="2" topLeftCell="B3" activePane="bottomRight" state="frozen"/>
      <selection activeCell="B53" sqref="B53"/>
      <selection pane="topRight" activeCell="B53" sqref="B53"/>
      <selection pane="bottomLeft" activeCell="B53" sqref="B53"/>
      <selection pane="bottomRight" activeCell="B53" sqref="B53"/>
    </sheetView>
  </sheetViews>
  <sheetFormatPr baseColWidth="10" defaultColWidth="11.1796875" defaultRowHeight="15" customHeight="1"/>
  <cols>
    <col min="1" max="1" width="13.36328125" customWidth="1"/>
    <col min="2" max="2" width="24.90625" customWidth="1"/>
    <col min="3" max="3" width="19" customWidth="1"/>
    <col min="4" max="4" width="13.1796875" customWidth="1"/>
    <col min="5" max="5" width="12.6328125" customWidth="1"/>
    <col min="6" max="6" width="13.1796875" customWidth="1"/>
    <col min="7" max="7" width="16.1796875" customWidth="1"/>
    <col min="8" max="8" width="17.90625" customWidth="1"/>
    <col min="9" max="10" width="19" customWidth="1"/>
    <col min="11" max="11" width="12.81640625" customWidth="1"/>
    <col min="12" max="12" width="12.54296875" customWidth="1"/>
    <col min="13" max="13" width="19.54296875" customWidth="1"/>
    <col min="14" max="14" width="8.90625" customWidth="1"/>
    <col min="15" max="17" width="17.90625" customWidth="1"/>
    <col min="18" max="18" width="18.08984375" customWidth="1"/>
    <col min="19" max="19" width="12.54296875" customWidth="1"/>
    <col min="20" max="21" width="22.453125" customWidth="1"/>
    <col min="22" max="22" width="15.6328125" customWidth="1"/>
  </cols>
  <sheetData>
    <row r="1" spans="1:22" ht="13.5" customHeight="1">
      <c r="A1" s="100"/>
      <c r="B1" s="100">
        <v>2</v>
      </c>
      <c r="C1" s="100">
        <v>3</v>
      </c>
      <c r="D1" s="100">
        <v>4</v>
      </c>
      <c r="E1" s="100">
        <v>5</v>
      </c>
      <c r="F1" s="100">
        <v>6</v>
      </c>
      <c r="G1" s="100">
        <v>7</v>
      </c>
      <c r="H1" s="100">
        <v>8</v>
      </c>
      <c r="I1" s="100">
        <v>9</v>
      </c>
      <c r="J1" s="100">
        <v>10</v>
      </c>
      <c r="K1" s="100">
        <v>11</v>
      </c>
      <c r="L1" s="100">
        <v>12</v>
      </c>
      <c r="M1" s="100">
        <v>13</v>
      </c>
      <c r="N1" s="100">
        <v>14</v>
      </c>
      <c r="O1" s="100">
        <v>15</v>
      </c>
      <c r="P1" s="100">
        <v>16</v>
      </c>
      <c r="Q1" s="100">
        <v>17</v>
      </c>
      <c r="R1" s="100">
        <v>18</v>
      </c>
      <c r="S1" s="100">
        <v>19</v>
      </c>
      <c r="T1" s="100">
        <v>20</v>
      </c>
      <c r="U1" s="100">
        <v>21</v>
      </c>
      <c r="V1" s="100">
        <v>22</v>
      </c>
    </row>
    <row r="2" spans="1:22" ht="27.75" customHeight="1">
      <c r="A2" s="101"/>
      <c r="B2" s="102" t="s">
        <v>64</v>
      </c>
      <c r="C2" s="102" t="s">
        <v>65</v>
      </c>
      <c r="D2" s="102" t="s">
        <v>66</v>
      </c>
      <c r="E2" s="102" t="s">
        <v>67</v>
      </c>
      <c r="F2" s="102" t="s">
        <v>68</v>
      </c>
      <c r="G2" s="102" t="s">
        <v>69</v>
      </c>
      <c r="H2" s="102" t="s">
        <v>70</v>
      </c>
      <c r="I2" s="102" t="s">
        <v>71</v>
      </c>
      <c r="J2" s="102" t="s">
        <v>72</v>
      </c>
      <c r="K2" s="102" t="s">
        <v>73</v>
      </c>
      <c r="L2" s="102" t="s">
        <v>74</v>
      </c>
      <c r="M2" s="102" t="s">
        <v>75</v>
      </c>
      <c r="N2" s="102" t="s">
        <v>76</v>
      </c>
      <c r="O2" s="103" t="s">
        <v>77</v>
      </c>
      <c r="P2" s="103" t="s">
        <v>78</v>
      </c>
      <c r="Q2" s="103" t="s">
        <v>79</v>
      </c>
      <c r="R2" s="103" t="s">
        <v>80</v>
      </c>
      <c r="S2" s="103" t="s">
        <v>81</v>
      </c>
      <c r="T2" s="102" t="s">
        <v>82</v>
      </c>
      <c r="U2" s="102" t="s">
        <v>83</v>
      </c>
      <c r="V2" s="102" t="s">
        <v>84</v>
      </c>
    </row>
    <row r="3" spans="1:22" ht="16.5" customHeight="1">
      <c r="A3" s="104" t="str">
        <f t="shared" ref="A3:A20" si="0">"#"&amp;D3&amp;" | " &amp;TEXT(G3,"0,00€")</f>
        <v>#81 | 250000,00€</v>
      </c>
      <c r="B3" s="105"/>
      <c r="C3" s="106"/>
      <c r="D3" s="107" t="s">
        <v>85</v>
      </c>
      <c r="E3" s="108">
        <v>2</v>
      </c>
      <c r="F3" s="109">
        <v>60</v>
      </c>
      <c r="G3" s="110">
        <v>250000</v>
      </c>
      <c r="H3" s="111" t="s">
        <v>86</v>
      </c>
      <c r="I3" s="112"/>
      <c r="J3" s="110">
        <v>0</v>
      </c>
      <c r="K3" s="113" t="s">
        <v>87</v>
      </c>
      <c r="L3" s="113"/>
      <c r="M3" s="114">
        <v>600</v>
      </c>
      <c r="N3" s="115">
        <v>25</v>
      </c>
      <c r="O3" s="116">
        <f>'Tabelle 2'!$B$4+ IF(H3="Stellplatz",'Tabelle 2'!$B$5,IF(H3="Garage",'Tabelle 2'!$B$6,0))+'Tabelle 2'!$B$7</f>
        <v>30</v>
      </c>
      <c r="P3" s="116">
        <f>'Tabelle 2'!$B$9+ IF(H3="Stellplatz",'Tabelle 2'!$B$10,IF(H3="Garage",'Tabelle 2'!$B$11,0))+'Tabelle 2'!$B$12</f>
        <v>30</v>
      </c>
      <c r="Q3" s="116">
        <f>'Tabelle 2'!$B$24+'Tabelle 2'!$B$25*(MAX((M3+N3)*'Tabelle 2'!$B$25,('Tabelle 2'!$B$27*F3+IF(H3="Stellplatz",'Tabelle 2'!$B$28,IF(H3="Garage",'Tabelle 2'!$B$29,0)))))</f>
        <v>0</v>
      </c>
      <c r="R3" s="116">
        <f>'Tabelle 2'!$B$14*F3+IF(H3="Stellplatz",'Tabelle 2'!$B$15,IF(H3="Garage",'Tabelle 2'!$B$16,0))+'Tabelle 2'!$B$17</f>
        <v>60</v>
      </c>
      <c r="S3" s="116">
        <f>'Tabelle 2'!$B$19*F3+IF(H3="Stellplatz",'Tabelle 2'!$B$20,IF(H3="Garage",'Tabelle 2'!$B$21,0))+'Tabelle 2'!$B$22</f>
        <v>30</v>
      </c>
      <c r="T3" s="110"/>
      <c r="U3" s="110"/>
      <c r="V3" s="117"/>
    </row>
    <row r="4" spans="1:22" ht="16.5" customHeight="1">
      <c r="A4" s="104" t="str">
        <f t="shared" si="0"/>
        <v># | 0,00€</v>
      </c>
      <c r="B4" s="118"/>
      <c r="C4" s="118"/>
      <c r="D4" s="107"/>
      <c r="E4" s="108"/>
      <c r="F4" s="119"/>
      <c r="G4" s="110"/>
      <c r="H4" s="120"/>
      <c r="I4" s="121"/>
      <c r="J4" s="110"/>
      <c r="K4" s="113"/>
      <c r="L4" s="113"/>
      <c r="M4" s="114"/>
      <c r="N4" s="115"/>
      <c r="O4" s="116">
        <f>'Tabelle 2'!$B$4+ IF(H4="Stellplatz",'Tabelle 2'!$B$5,IF(H4="Garage",'Tabelle 2'!$B$6,0))+'Tabelle 2'!$B$7</f>
        <v>30</v>
      </c>
      <c r="P4" s="116">
        <f>'Tabelle 2'!$B$9+ IF(H4="Stellplatz",'Tabelle 2'!$B$10,IF(H4="Garage",'Tabelle 2'!$B$11,0))+'Tabelle 2'!$B$12</f>
        <v>30</v>
      </c>
      <c r="Q4" s="116">
        <f>'Tabelle 2'!$B$24+'Tabelle 2'!$B$25*(MAX((M4+N4)*'Tabelle 2'!$B$25,('Tabelle 2'!$B$27*F4+IF(H4="Stellplatz",'Tabelle 2'!$B$28,IF(H4="Garage",'Tabelle 2'!$B$29,0)))))</f>
        <v>0</v>
      </c>
      <c r="R4" s="116">
        <f>'Tabelle 2'!$B$14*F4+IF(H4="Stellplatz",'Tabelle 2'!$B$15,IF(H4="Garage",'Tabelle 2'!$B$16,0))+'Tabelle 2'!$B$17</f>
        <v>0</v>
      </c>
      <c r="S4" s="116">
        <f>'Tabelle 2'!$B$19*F4+IF(H4="Stellplatz",'Tabelle 2'!$B$20,IF(H4="Garage",'Tabelle 2'!$B$21,0))+'Tabelle 2'!$B$22</f>
        <v>30</v>
      </c>
      <c r="T4" s="110"/>
      <c r="U4" s="110"/>
      <c r="V4" s="117"/>
    </row>
    <row r="5" spans="1:22" ht="16.5" customHeight="1">
      <c r="A5" s="104" t="str">
        <f t="shared" si="0"/>
        <v># | 0,00€</v>
      </c>
      <c r="B5" s="118"/>
      <c r="C5" s="118"/>
      <c r="D5" s="107"/>
      <c r="E5" s="108"/>
      <c r="F5" s="119"/>
      <c r="G5" s="110"/>
      <c r="H5" s="120"/>
      <c r="I5" s="121"/>
      <c r="J5" s="110"/>
      <c r="K5" s="113"/>
      <c r="L5" s="113"/>
      <c r="M5" s="114"/>
      <c r="N5" s="115"/>
      <c r="O5" s="116">
        <f>'Tabelle 2'!$B$4+ IF(H5="Stellplatz",'Tabelle 2'!$B$5,IF(H5="Garage",'Tabelle 2'!$B$6,0))+'Tabelle 2'!$B$7</f>
        <v>30</v>
      </c>
      <c r="P5" s="116">
        <f>'Tabelle 2'!$B$9+ IF(H5="Stellplatz",'Tabelle 2'!$B$10,IF(H5="Garage",'Tabelle 2'!$B$11,0))+'Tabelle 2'!$B$12</f>
        <v>30</v>
      </c>
      <c r="Q5" s="116">
        <f>'Tabelle 2'!$B$24+'Tabelle 2'!$B$25*(MAX((M5+N5)*'Tabelle 2'!$B$25,('Tabelle 2'!$B$27*F5+IF(H5="Stellplatz",'Tabelle 2'!$B$28,IF(H5="Garage",'Tabelle 2'!$B$29,0)))))</f>
        <v>0</v>
      </c>
      <c r="R5" s="116">
        <f>'Tabelle 2'!$B$14*F5+IF(H5="Stellplatz",'Tabelle 2'!$B$15,IF(H5="Garage",'Tabelle 2'!$B$16,0))+'Tabelle 2'!$B$17</f>
        <v>0</v>
      </c>
      <c r="S5" s="116">
        <f>'Tabelle 2'!$B$19*F5+IF(H5="Stellplatz",'Tabelle 2'!$B$20,IF(H5="Garage",'Tabelle 2'!$B$21,0))+'Tabelle 2'!$B$22</f>
        <v>30</v>
      </c>
      <c r="T5" s="110"/>
      <c r="U5" s="110"/>
      <c r="V5" s="117"/>
    </row>
    <row r="6" spans="1:22" ht="16.5" customHeight="1">
      <c r="A6" s="104" t="str">
        <f t="shared" si="0"/>
        <v># | 0,00€</v>
      </c>
      <c r="B6" s="118"/>
      <c r="C6" s="118"/>
      <c r="D6" s="107"/>
      <c r="E6" s="108"/>
      <c r="F6" s="119"/>
      <c r="G6" s="110"/>
      <c r="H6" s="120"/>
      <c r="I6" s="121"/>
      <c r="J6" s="110"/>
      <c r="K6" s="113"/>
      <c r="L6" s="113"/>
      <c r="M6" s="114"/>
      <c r="N6" s="115"/>
      <c r="O6" s="116">
        <f>'Tabelle 2'!$B$4+ IF(H6="Stellplatz",'Tabelle 2'!$B$5,IF(H6="Garage",'Tabelle 2'!$B$6,0))+'Tabelle 2'!$B$7</f>
        <v>30</v>
      </c>
      <c r="P6" s="116">
        <f>'Tabelle 2'!$B$9+ IF(H6="Stellplatz",'Tabelle 2'!$B$10,IF(H6="Garage",'Tabelle 2'!$B$11,0))+'Tabelle 2'!$B$12</f>
        <v>30</v>
      </c>
      <c r="Q6" s="116">
        <f>'Tabelle 2'!$B$24+'Tabelle 2'!$B$25*(MAX((M6+N6)*'Tabelle 2'!$B$25,('Tabelle 2'!$B$27*F6+IF(H6="Stellplatz",'Tabelle 2'!$B$28,IF(H6="Garage",'Tabelle 2'!$B$29,0)))))</f>
        <v>0</v>
      </c>
      <c r="R6" s="116">
        <f>'Tabelle 2'!$B$14*F6+IF(H6="Stellplatz",'Tabelle 2'!$B$15,IF(H6="Garage",'Tabelle 2'!$B$16,0))+'Tabelle 2'!$B$17</f>
        <v>0</v>
      </c>
      <c r="S6" s="116">
        <f>'Tabelle 2'!$B$19*F6+IF(H6="Stellplatz",'Tabelle 2'!$B$20,IF(H6="Garage",'Tabelle 2'!$B$21,0))+'Tabelle 2'!$B$22</f>
        <v>30</v>
      </c>
      <c r="T6" s="110"/>
      <c r="U6" s="110"/>
      <c r="V6" s="117"/>
    </row>
    <row r="7" spans="1:22" ht="16.5" customHeight="1">
      <c r="A7" s="104" t="str">
        <f t="shared" si="0"/>
        <v># | 0,00€</v>
      </c>
      <c r="B7" s="118"/>
      <c r="C7" s="118"/>
      <c r="D7" s="107"/>
      <c r="E7" s="108"/>
      <c r="F7" s="119"/>
      <c r="G7" s="110"/>
      <c r="H7" s="120"/>
      <c r="I7" s="121"/>
      <c r="J7" s="110"/>
      <c r="K7" s="113"/>
      <c r="L7" s="113"/>
      <c r="M7" s="114"/>
      <c r="N7" s="115"/>
      <c r="O7" s="116">
        <f>'Tabelle 2'!$B$4+ IF(H7="Stellplatz",'Tabelle 2'!$B$5,IF(H7="Garage",'Tabelle 2'!$B$6,0))+'Tabelle 2'!$B$7</f>
        <v>30</v>
      </c>
      <c r="P7" s="116">
        <f>'Tabelle 2'!$B$9+ IF(H7="Stellplatz",'Tabelle 2'!$B$10,IF(H7="Garage",'Tabelle 2'!$B$11,0))+'Tabelle 2'!$B$12</f>
        <v>30</v>
      </c>
      <c r="Q7" s="116">
        <f>'Tabelle 2'!$B$24+'Tabelle 2'!$B$25*(MAX((M7+N7)*'Tabelle 2'!$B$25,('Tabelle 2'!$B$27*F7+IF(H7="Stellplatz",'Tabelle 2'!$B$28,IF(H7="Garage",'Tabelle 2'!$B$29,0)))))</f>
        <v>0</v>
      </c>
      <c r="R7" s="116">
        <f>'Tabelle 2'!$B$14*F7+IF(H7="Stellplatz",'Tabelle 2'!$B$15,IF(H7="Garage",'Tabelle 2'!$B$16,0))+'Tabelle 2'!$B$17</f>
        <v>0</v>
      </c>
      <c r="S7" s="116">
        <f>'Tabelle 2'!$B$19*F7+IF(H7="Stellplatz",'Tabelle 2'!$B$20,IF(H7="Garage",'Tabelle 2'!$B$21,0))+'Tabelle 2'!$B$22</f>
        <v>30</v>
      </c>
      <c r="T7" s="110"/>
      <c r="U7" s="110"/>
      <c r="V7" s="117"/>
    </row>
    <row r="8" spans="1:22" ht="16.5" customHeight="1">
      <c r="A8" s="104" t="str">
        <f t="shared" si="0"/>
        <v># | 0,00€</v>
      </c>
      <c r="B8" s="118"/>
      <c r="C8" s="118"/>
      <c r="D8" s="107"/>
      <c r="E8" s="108"/>
      <c r="F8" s="119"/>
      <c r="G8" s="110"/>
      <c r="H8" s="120"/>
      <c r="I8" s="121"/>
      <c r="J8" s="110"/>
      <c r="K8" s="113"/>
      <c r="L8" s="113"/>
      <c r="M8" s="114"/>
      <c r="N8" s="115"/>
      <c r="O8" s="116">
        <f>'Tabelle 2'!$B$4+ IF(H8="Stellplatz",'Tabelle 2'!$B$5,IF(H8="Garage",'Tabelle 2'!$B$6,0))+'Tabelle 2'!$B$7</f>
        <v>30</v>
      </c>
      <c r="P8" s="116">
        <f>'Tabelle 2'!$B$9+ IF(H8="Stellplatz",'Tabelle 2'!$B$10,IF(H8="Garage",'Tabelle 2'!$B$11,0))+'Tabelle 2'!$B$12</f>
        <v>30</v>
      </c>
      <c r="Q8" s="116">
        <f>'Tabelle 2'!$B$24+'Tabelle 2'!$B$25*(MAX((M8+N8)*'Tabelle 2'!$B$25,('Tabelle 2'!$B$27*F8+IF(H8="Stellplatz",'Tabelle 2'!$B$28,IF(H8="Garage",'Tabelle 2'!$B$29,0)))))</f>
        <v>0</v>
      </c>
      <c r="R8" s="116">
        <f>'Tabelle 2'!$B$14*F8+IF(H8="Stellplatz",'Tabelle 2'!$B$15,IF(H8="Garage",'Tabelle 2'!$B$16,0))+'Tabelle 2'!$B$17</f>
        <v>0</v>
      </c>
      <c r="S8" s="116">
        <f>'Tabelle 2'!$B$19*F8+IF(H8="Stellplatz",'Tabelle 2'!$B$20,IF(H8="Garage",'Tabelle 2'!$B$21,0))+'Tabelle 2'!$B$22</f>
        <v>30</v>
      </c>
      <c r="T8" s="110"/>
      <c r="U8" s="110"/>
      <c r="V8" s="117"/>
    </row>
    <row r="9" spans="1:22" ht="16.5" customHeight="1">
      <c r="A9" s="104" t="str">
        <f t="shared" si="0"/>
        <v># | 0,00€</v>
      </c>
      <c r="B9" s="118"/>
      <c r="C9" s="118"/>
      <c r="D9" s="107"/>
      <c r="E9" s="108"/>
      <c r="F9" s="119"/>
      <c r="G9" s="110"/>
      <c r="H9" s="120"/>
      <c r="I9" s="121"/>
      <c r="J9" s="110"/>
      <c r="K9" s="113"/>
      <c r="L9" s="113"/>
      <c r="M9" s="114"/>
      <c r="N9" s="115"/>
      <c r="O9" s="116">
        <f>'Tabelle 2'!$B$4+ IF(H9="Stellplatz",'Tabelle 2'!$B$5,IF(H9="Garage",'Tabelle 2'!$B$6,0))+'Tabelle 2'!$B$7</f>
        <v>30</v>
      </c>
      <c r="P9" s="116">
        <f>'Tabelle 2'!$B$9+ IF(H9="Stellplatz",'Tabelle 2'!$B$10,IF(H9="Garage",'Tabelle 2'!$B$11,0))+'Tabelle 2'!$B$12</f>
        <v>30</v>
      </c>
      <c r="Q9" s="116">
        <f>'Tabelle 2'!$B$24+'Tabelle 2'!$B$25*(MAX((M9+N9)*'Tabelle 2'!$B$25,('Tabelle 2'!$B$27*F9+IF(H9="Stellplatz",'Tabelle 2'!$B$28,IF(H9="Garage",'Tabelle 2'!$B$29,0)))))</f>
        <v>0</v>
      </c>
      <c r="R9" s="116">
        <f>'Tabelle 2'!$B$14*F9+IF(H9="Stellplatz",'Tabelle 2'!$B$15,IF(H9="Garage",'Tabelle 2'!$B$16,0))+'Tabelle 2'!$B$17</f>
        <v>0</v>
      </c>
      <c r="S9" s="116">
        <f>'Tabelle 2'!$B$19*F9+IF(H9="Stellplatz",'Tabelle 2'!$B$20,IF(H9="Garage",'Tabelle 2'!$B$21,0))+'Tabelle 2'!$B$22</f>
        <v>30</v>
      </c>
      <c r="T9" s="110"/>
      <c r="U9" s="110"/>
      <c r="V9" s="117"/>
    </row>
    <row r="10" spans="1:22" ht="16.5" customHeight="1">
      <c r="A10" s="104" t="str">
        <f t="shared" si="0"/>
        <v># | 0,00€</v>
      </c>
      <c r="B10" s="118"/>
      <c r="C10" s="118"/>
      <c r="D10" s="107"/>
      <c r="E10" s="108"/>
      <c r="F10" s="119"/>
      <c r="G10" s="110"/>
      <c r="H10" s="120"/>
      <c r="I10" s="121"/>
      <c r="J10" s="110"/>
      <c r="K10" s="113"/>
      <c r="L10" s="113"/>
      <c r="M10" s="114"/>
      <c r="N10" s="115"/>
      <c r="O10" s="116">
        <f>'Tabelle 2'!$B$4+ IF(H10="Stellplatz",'Tabelle 2'!$B$5,IF(H10="Garage",'Tabelle 2'!$B$6,0))+'Tabelle 2'!$B$7</f>
        <v>30</v>
      </c>
      <c r="P10" s="116">
        <f>'Tabelle 2'!$B$9+ IF(H10="Stellplatz",'Tabelle 2'!$B$10,IF(H10="Garage",'Tabelle 2'!$B$11,0))+'Tabelle 2'!$B$12</f>
        <v>30</v>
      </c>
      <c r="Q10" s="116">
        <f>'Tabelle 2'!$B$24+'Tabelle 2'!$B$25*(MAX((M10+N10)*'Tabelle 2'!$B$25,('Tabelle 2'!$B$27*F10+IF(H10="Stellplatz",'Tabelle 2'!$B$28,IF(H10="Garage",'Tabelle 2'!$B$29,0)))))</f>
        <v>0</v>
      </c>
      <c r="R10" s="116">
        <f>'Tabelle 2'!$B$14*F10+IF(H10="Stellplatz",'Tabelle 2'!$B$15,IF(H10="Garage",'Tabelle 2'!$B$16,0))+'Tabelle 2'!$B$17</f>
        <v>0</v>
      </c>
      <c r="S10" s="116">
        <f>'Tabelle 2'!$B$19*F10+IF(H10="Stellplatz",'Tabelle 2'!$B$20,IF(H10="Garage",'Tabelle 2'!$B$21,0))+'Tabelle 2'!$B$22</f>
        <v>30</v>
      </c>
      <c r="T10" s="110"/>
      <c r="U10" s="110"/>
      <c r="V10" s="117"/>
    </row>
    <row r="11" spans="1:22" ht="16.5" customHeight="1">
      <c r="A11" s="104" t="str">
        <f t="shared" si="0"/>
        <v># | 0,00€</v>
      </c>
      <c r="B11" s="118"/>
      <c r="C11" s="118"/>
      <c r="D11" s="107"/>
      <c r="E11" s="108"/>
      <c r="F11" s="119"/>
      <c r="G11" s="110"/>
      <c r="H11" s="120"/>
      <c r="I11" s="121"/>
      <c r="J11" s="110"/>
      <c r="K11" s="113"/>
      <c r="L11" s="113"/>
      <c r="M11" s="114"/>
      <c r="N11" s="115"/>
      <c r="O11" s="116">
        <f>'Tabelle 2'!$B$4+ IF(H11="Stellplatz",'Tabelle 2'!$B$5,IF(H11="Garage",'Tabelle 2'!$B$6,0))+'Tabelle 2'!$B$7</f>
        <v>30</v>
      </c>
      <c r="P11" s="116">
        <f>'Tabelle 2'!$B$9+ IF(H11="Stellplatz",'Tabelle 2'!$B$10,IF(H11="Garage",'Tabelle 2'!$B$11,0))+'Tabelle 2'!$B$12</f>
        <v>30</v>
      </c>
      <c r="Q11" s="116">
        <f>'Tabelle 2'!$B$24+'Tabelle 2'!$B$25*(MAX((M11+N11)*'Tabelle 2'!$B$25,('Tabelle 2'!$B$27*F11+IF(H11="Stellplatz",'Tabelle 2'!$B$28,IF(H11="Garage",'Tabelle 2'!$B$29,0)))))</f>
        <v>0</v>
      </c>
      <c r="R11" s="116">
        <f>'Tabelle 2'!$B$14*F11+IF(H11="Stellplatz",'Tabelle 2'!$B$15,IF(H11="Garage",'Tabelle 2'!$B$16,0))+'Tabelle 2'!$B$17</f>
        <v>0</v>
      </c>
      <c r="S11" s="116">
        <f>'Tabelle 2'!$B$19*F11+IF(H11="Stellplatz",'Tabelle 2'!$B$20,IF(H11="Garage",'Tabelle 2'!$B$21,0))+'Tabelle 2'!$B$22</f>
        <v>30</v>
      </c>
      <c r="T11" s="110"/>
      <c r="U11" s="110"/>
      <c r="V11" s="117"/>
    </row>
    <row r="12" spans="1:22" ht="16.5" customHeight="1">
      <c r="A12" s="104" t="str">
        <f t="shared" si="0"/>
        <v># | 0,00€</v>
      </c>
      <c r="B12" s="118"/>
      <c r="C12" s="118"/>
      <c r="D12" s="107"/>
      <c r="E12" s="108"/>
      <c r="F12" s="119"/>
      <c r="G12" s="110"/>
      <c r="H12" s="120"/>
      <c r="I12" s="121"/>
      <c r="J12" s="110"/>
      <c r="K12" s="113"/>
      <c r="L12" s="113"/>
      <c r="M12" s="114"/>
      <c r="N12" s="115"/>
      <c r="O12" s="116">
        <f>'Tabelle 2'!$B$4+ IF(H12="Stellplatz",'Tabelle 2'!$B$5,IF(H12="Garage",'Tabelle 2'!$B$6,0))+'Tabelle 2'!$B$7</f>
        <v>30</v>
      </c>
      <c r="P12" s="116">
        <f>'Tabelle 2'!$B$9+ IF(H12="Stellplatz",'Tabelle 2'!$B$10,IF(H12="Garage",'Tabelle 2'!$B$11,0))+'Tabelle 2'!$B$12</f>
        <v>30</v>
      </c>
      <c r="Q12" s="116">
        <f>'Tabelle 2'!$B$24+'Tabelle 2'!$B$25*(MAX((M12+N12)*'Tabelle 2'!$B$25,('Tabelle 2'!$B$27*F12+IF(H12="Stellplatz",'Tabelle 2'!$B$28,IF(H12="Garage",'Tabelle 2'!$B$29,0)))))</f>
        <v>0</v>
      </c>
      <c r="R12" s="116">
        <f>'Tabelle 2'!$B$14*F12+IF(H12="Stellplatz",'Tabelle 2'!$B$15,IF(H12="Garage",'Tabelle 2'!$B$16,0))+'Tabelle 2'!$B$17</f>
        <v>0</v>
      </c>
      <c r="S12" s="116">
        <f>'Tabelle 2'!$B$19*F12+IF(H12="Stellplatz",'Tabelle 2'!$B$20,IF(H12="Garage",'Tabelle 2'!$B$21,0))+'Tabelle 2'!$B$22</f>
        <v>30</v>
      </c>
      <c r="T12" s="110"/>
      <c r="U12" s="110"/>
      <c r="V12" s="117"/>
    </row>
    <row r="13" spans="1:22" ht="16.5" customHeight="1">
      <c r="A13" s="104" t="str">
        <f t="shared" si="0"/>
        <v># | 0,00€</v>
      </c>
      <c r="B13" s="118"/>
      <c r="C13" s="118"/>
      <c r="D13" s="107"/>
      <c r="E13" s="108"/>
      <c r="F13" s="119"/>
      <c r="G13" s="110"/>
      <c r="H13" s="120"/>
      <c r="I13" s="121"/>
      <c r="J13" s="110"/>
      <c r="K13" s="113"/>
      <c r="L13" s="113"/>
      <c r="M13" s="114"/>
      <c r="N13" s="115"/>
      <c r="O13" s="116">
        <f>'Tabelle 2'!$B$4+ IF(H13="Stellplatz",'Tabelle 2'!$B$5,IF(H13="Garage",'Tabelle 2'!$B$6,0))+'Tabelle 2'!$B$7</f>
        <v>30</v>
      </c>
      <c r="P13" s="116">
        <f>'Tabelle 2'!$B$9+ IF(H13="Stellplatz",'Tabelle 2'!$B$10,IF(H13="Garage",'Tabelle 2'!$B$11,0))+'Tabelle 2'!$B$12</f>
        <v>30</v>
      </c>
      <c r="Q13" s="116">
        <f>'Tabelle 2'!$B$24+'Tabelle 2'!$B$25*(MAX((M13+N13)*'Tabelle 2'!$B$25,('Tabelle 2'!$B$27*F13+IF(H13="Stellplatz",'Tabelle 2'!$B$28,IF(H13="Garage",'Tabelle 2'!$B$29,0)))))</f>
        <v>0</v>
      </c>
      <c r="R13" s="116">
        <f>'Tabelle 2'!$B$14*F13+IF(H13="Stellplatz",'Tabelle 2'!$B$15,IF(H13="Garage",'Tabelle 2'!$B$16,0))+'Tabelle 2'!$B$17</f>
        <v>0</v>
      </c>
      <c r="S13" s="116">
        <f>'Tabelle 2'!$B$19*F13+IF(H13="Stellplatz",'Tabelle 2'!$B$20,IF(H13="Garage",'Tabelle 2'!$B$21,0))+'Tabelle 2'!$B$22</f>
        <v>30</v>
      </c>
      <c r="T13" s="110"/>
      <c r="U13" s="110"/>
      <c r="V13" s="117"/>
    </row>
    <row r="14" spans="1:22" ht="16.5" customHeight="1">
      <c r="A14" s="104" t="str">
        <f t="shared" si="0"/>
        <v># | 0,00€</v>
      </c>
      <c r="B14" s="118"/>
      <c r="C14" s="118"/>
      <c r="D14" s="107"/>
      <c r="E14" s="108"/>
      <c r="F14" s="119"/>
      <c r="G14" s="110"/>
      <c r="H14" s="120"/>
      <c r="I14" s="121"/>
      <c r="J14" s="110"/>
      <c r="K14" s="113"/>
      <c r="L14" s="113"/>
      <c r="M14" s="114"/>
      <c r="N14" s="115"/>
      <c r="O14" s="116">
        <f>'Tabelle 2'!$B$4+ IF(H14="Stellplatz",'Tabelle 2'!$B$5,IF(H14="Garage",'Tabelle 2'!$B$6,0))+'Tabelle 2'!$B$7</f>
        <v>30</v>
      </c>
      <c r="P14" s="116">
        <f>'Tabelle 2'!$B$9+ IF(H14="Stellplatz",'Tabelle 2'!$B$10,IF(H14="Garage",'Tabelle 2'!$B$11,0))+'Tabelle 2'!$B$12</f>
        <v>30</v>
      </c>
      <c r="Q14" s="116">
        <f>'Tabelle 2'!$B$24+'Tabelle 2'!$B$25*(MAX((M14+N14)*'Tabelle 2'!$B$25,('Tabelle 2'!$B$27*F14+IF(H14="Stellplatz",'Tabelle 2'!$B$28,IF(H14="Garage",'Tabelle 2'!$B$29,0)))))</f>
        <v>0</v>
      </c>
      <c r="R14" s="116">
        <f>'Tabelle 2'!$B$14*F14+IF(H14="Stellplatz",'Tabelle 2'!$B$15,IF(H14="Garage",'Tabelle 2'!$B$16,0))+'Tabelle 2'!$B$17</f>
        <v>0</v>
      </c>
      <c r="S14" s="116">
        <f>'Tabelle 2'!$B$19*F14+IF(H14="Stellplatz",'Tabelle 2'!$B$20,IF(H14="Garage",'Tabelle 2'!$B$21,0))+'Tabelle 2'!$B$22</f>
        <v>30</v>
      </c>
      <c r="T14" s="110"/>
      <c r="U14" s="110"/>
      <c r="V14" s="117"/>
    </row>
    <row r="15" spans="1:22" ht="16.5" customHeight="1">
      <c r="A15" s="104" t="str">
        <f t="shared" si="0"/>
        <v># | 0,00€</v>
      </c>
      <c r="B15" s="118"/>
      <c r="C15" s="118"/>
      <c r="D15" s="107"/>
      <c r="E15" s="108"/>
      <c r="F15" s="119"/>
      <c r="G15" s="110"/>
      <c r="H15" s="120"/>
      <c r="I15" s="121"/>
      <c r="J15" s="110"/>
      <c r="K15" s="113"/>
      <c r="L15" s="113"/>
      <c r="M15" s="122"/>
      <c r="N15" s="115"/>
      <c r="O15" s="116">
        <f>'Tabelle 2'!$B$4+ IF(H15="Stellplatz",'Tabelle 2'!$B$5,IF(H15="Garage",'Tabelle 2'!$B$6,0))+'Tabelle 2'!$B$7</f>
        <v>30</v>
      </c>
      <c r="P15" s="116">
        <f>'Tabelle 2'!$B$9+ IF(H15="Stellplatz",'Tabelle 2'!$B$10,IF(H15="Garage",'Tabelle 2'!$B$11,0))+'Tabelle 2'!$B$12</f>
        <v>30</v>
      </c>
      <c r="Q15" s="116">
        <f>'Tabelle 2'!$B$24+'Tabelle 2'!$B$25*(MAX((M15+N15)*'Tabelle 2'!$B$25,('Tabelle 2'!$B$27*F15+IF(H15="Stellplatz",'Tabelle 2'!$B$28,IF(H15="Garage",'Tabelle 2'!$B$29,0)))))</f>
        <v>0</v>
      </c>
      <c r="R15" s="116">
        <f>'Tabelle 2'!$B$14*F15+IF(H15="Stellplatz",'Tabelle 2'!$B$15,IF(H15="Garage",'Tabelle 2'!$B$16,0))+'Tabelle 2'!$B$17</f>
        <v>0</v>
      </c>
      <c r="S15" s="116">
        <f>'Tabelle 2'!$B$19*F15+IF(H15="Stellplatz",'Tabelle 2'!$B$20,IF(H15="Garage",'Tabelle 2'!$B$21,0))+'Tabelle 2'!$B$22</f>
        <v>30</v>
      </c>
      <c r="T15" s="110"/>
      <c r="U15" s="110"/>
      <c r="V15" s="117"/>
    </row>
    <row r="16" spans="1:22" ht="16.5" customHeight="1">
      <c r="A16" s="104" t="str">
        <f t="shared" si="0"/>
        <v># | 0,00€</v>
      </c>
      <c r="B16" s="118"/>
      <c r="C16" s="118"/>
      <c r="D16" s="107"/>
      <c r="E16" s="108"/>
      <c r="F16" s="119"/>
      <c r="G16" s="110"/>
      <c r="H16" s="120"/>
      <c r="I16" s="121"/>
      <c r="J16" s="110"/>
      <c r="K16" s="113"/>
      <c r="L16" s="113"/>
      <c r="M16" s="122"/>
      <c r="N16" s="115"/>
      <c r="O16" s="116">
        <f>'Tabelle 2'!$B$4+ IF(H16="Stellplatz",'Tabelle 2'!$B$5,IF(H16="Garage",'Tabelle 2'!$B$6,0))+'Tabelle 2'!$B$7</f>
        <v>30</v>
      </c>
      <c r="P16" s="116">
        <f>'Tabelle 2'!$B$9+ IF(H16="Stellplatz",'Tabelle 2'!$B$10,IF(H16="Garage",'Tabelle 2'!$B$11,0))+'Tabelle 2'!$B$12</f>
        <v>30</v>
      </c>
      <c r="Q16" s="116">
        <f>'Tabelle 2'!$B$24+'Tabelle 2'!$B$25*(MAX((M16+N16)*'Tabelle 2'!$B$25,('Tabelle 2'!$B$27*F16+IF(H16="Stellplatz",'Tabelle 2'!$B$28,IF(H16="Garage",'Tabelle 2'!$B$29,0)))))</f>
        <v>0</v>
      </c>
      <c r="R16" s="116">
        <f>'Tabelle 2'!$B$14*F16+IF(H16="Stellplatz",'Tabelle 2'!$B$15,IF(H16="Garage",'Tabelle 2'!$B$16,0))+'Tabelle 2'!$B$17</f>
        <v>0</v>
      </c>
      <c r="S16" s="116">
        <f>'Tabelle 2'!$B$19*F16+IF(H16="Stellplatz",'Tabelle 2'!$B$20,IF(H16="Garage",'Tabelle 2'!$B$21,0))+'Tabelle 2'!$B$22</f>
        <v>30</v>
      </c>
      <c r="T16" s="110"/>
      <c r="U16" s="110"/>
      <c r="V16" s="117"/>
    </row>
    <row r="17" spans="1:22" ht="16.5" customHeight="1">
      <c r="A17" s="104" t="str">
        <f t="shared" si="0"/>
        <v># | 0,00€</v>
      </c>
      <c r="B17" s="118"/>
      <c r="C17" s="118"/>
      <c r="D17" s="107"/>
      <c r="E17" s="108"/>
      <c r="F17" s="119"/>
      <c r="G17" s="110"/>
      <c r="H17" s="120"/>
      <c r="I17" s="121"/>
      <c r="J17" s="110"/>
      <c r="K17" s="113"/>
      <c r="L17" s="113"/>
      <c r="M17" s="122"/>
      <c r="N17" s="115"/>
      <c r="O17" s="116">
        <f>'Tabelle 2'!$B$4+ IF(H17="Stellplatz",'Tabelle 2'!$B$5,IF(H17="Garage",'Tabelle 2'!$B$6,0))+'Tabelle 2'!$B$7</f>
        <v>30</v>
      </c>
      <c r="P17" s="116">
        <f>'Tabelle 2'!$B$9+ IF(H17="Stellplatz",'Tabelle 2'!$B$10,IF(H17="Garage",'Tabelle 2'!$B$11,0))+'Tabelle 2'!$B$12</f>
        <v>30</v>
      </c>
      <c r="Q17" s="116">
        <f>'Tabelle 2'!$B$24+'Tabelle 2'!$B$25*(MAX((M17+N17)*'Tabelle 2'!$B$25,('Tabelle 2'!$B$27*F17+IF(H17="Stellplatz",'Tabelle 2'!$B$28,IF(H17="Garage",'Tabelle 2'!$B$29,0)))))</f>
        <v>0</v>
      </c>
      <c r="R17" s="116">
        <f>'Tabelle 2'!$B$14*F17+IF(H17="Stellplatz",'Tabelle 2'!$B$15,IF(H17="Garage",'Tabelle 2'!$B$16,0))+'Tabelle 2'!$B$17</f>
        <v>0</v>
      </c>
      <c r="S17" s="116">
        <f>'Tabelle 2'!$B$19*F17+IF(H17="Stellplatz",'Tabelle 2'!$B$20,IF(H17="Garage",'Tabelle 2'!$B$21,0))+'Tabelle 2'!$B$22</f>
        <v>30</v>
      </c>
      <c r="T17" s="110"/>
      <c r="U17" s="110"/>
      <c r="V17" s="117"/>
    </row>
    <row r="18" spans="1:22" ht="16.5" customHeight="1">
      <c r="A18" s="104" t="str">
        <f t="shared" si="0"/>
        <v># | 0,00€</v>
      </c>
      <c r="B18" s="118"/>
      <c r="C18" s="118"/>
      <c r="D18" s="107"/>
      <c r="E18" s="108"/>
      <c r="F18" s="119"/>
      <c r="G18" s="110"/>
      <c r="H18" s="120"/>
      <c r="I18" s="121"/>
      <c r="J18" s="110"/>
      <c r="K18" s="113"/>
      <c r="L18" s="113"/>
      <c r="M18" s="122"/>
      <c r="N18" s="115"/>
      <c r="O18" s="116">
        <f>'Tabelle 2'!$B$4+ IF(H18="Stellplatz",'Tabelle 2'!$B$5,IF(H18="Garage",'Tabelle 2'!$B$6,0))+'Tabelle 2'!$B$7</f>
        <v>30</v>
      </c>
      <c r="P18" s="116">
        <f>'Tabelle 2'!$B$9+ IF(H18="Stellplatz",'Tabelle 2'!$B$10,IF(H18="Garage",'Tabelle 2'!$B$11,0))+'Tabelle 2'!$B$12</f>
        <v>30</v>
      </c>
      <c r="Q18" s="116">
        <f>'Tabelle 2'!$B$24+'Tabelle 2'!$B$25*(MAX((M18+N18)*'Tabelle 2'!$B$25,('Tabelle 2'!$B$27*F18+IF(H18="Stellplatz",'Tabelle 2'!$B$28,IF(H18="Garage",'Tabelle 2'!$B$29,0)))))</f>
        <v>0</v>
      </c>
      <c r="R18" s="116">
        <f>'Tabelle 2'!$B$14*F18+IF(H18="Stellplatz",'Tabelle 2'!$B$15,IF(H18="Garage",'Tabelle 2'!$B$16,0))+'Tabelle 2'!$B$17</f>
        <v>0</v>
      </c>
      <c r="S18" s="116">
        <f>'Tabelle 2'!$B$19*F18+IF(H18="Stellplatz",'Tabelle 2'!$B$20,IF(H18="Garage",'Tabelle 2'!$B$21,0))+'Tabelle 2'!$B$22</f>
        <v>30</v>
      </c>
      <c r="T18" s="110"/>
      <c r="U18" s="110"/>
      <c r="V18" s="117"/>
    </row>
    <row r="19" spans="1:22" ht="16.5" customHeight="1">
      <c r="A19" s="104" t="str">
        <f t="shared" si="0"/>
        <v># | 0,00€</v>
      </c>
      <c r="B19" s="118"/>
      <c r="C19" s="118"/>
      <c r="D19" s="107"/>
      <c r="E19" s="108"/>
      <c r="F19" s="119"/>
      <c r="G19" s="110"/>
      <c r="H19" s="120"/>
      <c r="I19" s="121"/>
      <c r="J19" s="110"/>
      <c r="K19" s="113"/>
      <c r="L19" s="113"/>
      <c r="M19" s="122"/>
      <c r="N19" s="115"/>
      <c r="O19" s="116">
        <f>'Tabelle 2'!$B$4+ IF(H19="Stellplatz",'Tabelle 2'!$B$5,IF(H19="Garage",'Tabelle 2'!$B$6,0))+'Tabelle 2'!$B$7</f>
        <v>30</v>
      </c>
      <c r="P19" s="116">
        <f>'Tabelle 2'!$B$9+ IF(H19="Stellplatz",'Tabelle 2'!$B$10,IF(H19="Garage",'Tabelle 2'!$B$11,0))+'Tabelle 2'!$B$12</f>
        <v>30</v>
      </c>
      <c r="Q19" s="116">
        <f>'Tabelle 2'!$B$24+'Tabelle 2'!$B$25*(MAX((M19+N19)*'Tabelle 2'!$B$25,('Tabelle 2'!$B$27*F19+IF(H19="Stellplatz",'Tabelle 2'!$B$28,IF(H19="Garage",'Tabelle 2'!$B$29,0)))))</f>
        <v>0</v>
      </c>
      <c r="R19" s="116">
        <f>'Tabelle 2'!$B$14*F19+IF(H19="Stellplatz",'Tabelle 2'!$B$15,IF(H19="Garage",'Tabelle 2'!$B$16,0))+'Tabelle 2'!$B$17</f>
        <v>0</v>
      </c>
      <c r="S19" s="116">
        <f>'Tabelle 2'!$B$19*F19+IF(H19="Stellplatz",'Tabelle 2'!$B$20,IF(H19="Garage",'Tabelle 2'!$B$21,0))+'Tabelle 2'!$B$22</f>
        <v>30</v>
      </c>
      <c r="T19" s="110"/>
      <c r="U19" s="110"/>
      <c r="V19" s="117"/>
    </row>
    <row r="20" spans="1:22" ht="16.5" customHeight="1">
      <c r="A20" s="104" t="str">
        <f t="shared" si="0"/>
        <v># | 0,00€</v>
      </c>
      <c r="B20" s="118"/>
      <c r="C20" s="118"/>
      <c r="D20" s="107"/>
      <c r="E20" s="108"/>
      <c r="F20" s="119"/>
      <c r="G20" s="110"/>
      <c r="H20" s="120"/>
      <c r="I20" s="121"/>
      <c r="J20" s="110"/>
      <c r="K20" s="113"/>
      <c r="L20" s="113"/>
      <c r="M20" s="122"/>
      <c r="N20" s="115"/>
      <c r="O20" s="116">
        <f>'Tabelle 2'!$B$4+ IF(H20="Stellplatz",'Tabelle 2'!$B$5,IF(H20="Garage",'Tabelle 2'!$B$6,0))+'Tabelle 2'!$B$7</f>
        <v>30</v>
      </c>
      <c r="P20" s="116">
        <f>'Tabelle 2'!$B$9+ IF(H20="Stellplatz",'Tabelle 2'!$B$10,IF(H20="Garage",'Tabelle 2'!$B$11,0))+'Tabelle 2'!$B$12</f>
        <v>30</v>
      </c>
      <c r="Q20" s="116">
        <f>'Tabelle 2'!$B$24+'Tabelle 2'!$B$25*(MAX((M20+N20)*'Tabelle 2'!$B$25,('Tabelle 2'!$B$27*F20+IF(H20="Stellplatz",'Tabelle 2'!$B$28,IF(H20="Garage",'Tabelle 2'!$B$29,0)))))</f>
        <v>0</v>
      </c>
      <c r="R20" s="116">
        <f>'Tabelle 2'!$B$14*F20+IF(H20="Stellplatz",'Tabelle 2'!$B$15,IF(H20="Garage",'Tabelle 2'!$B$16,0))+'Tabelle 2'!$B$17</f>
        <v>0</v>
      </c>
      <c r="S20" s="116">
        <f>'Tabelle 2'!$B$19*F20+IF(H20="Stellplatz",'Tabelle 2'!$B$20,IF(H20="Garage",'Tabelle 2'!$B$21,0))+'Tabelle 2'!$B$22</f>
        <v>30</v>
      </c>
      <c r="T20" s="110"/>
      <c r="U20" s="110"/>
      <c r="V20" s="117"/>
    </row>
  </sheetData>
  <dataValidations count="1">
    <dataValidation type="list" allowBlank="1" sqref="H3:H20" xr:uid="{00000000-0002-0000-0200-000000000000}">
      <formula1>"Stellplatz,Garage,Tiefgaragenstellplatz,Carport,Stellplätze,Garagen,Stellplatz + Garage,Tiefgaragenstellplätze"</formula1>
    </dataValidation>
  </dataValidations>
  <pageMargins left="0.23622000000000001" right="0" top="0" bottom="0" header="0" footer="0"/>
  <pageSetup orientation="landscape"/>
  <headerFooter>
    <oddFooter>&amp;C000000&amp;P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C2:P38"/>
  <sheetViews>
    <sheetView showGridLines="0" workbookViewId="0">
      <selection activeCell="B53" sqref="B53"/>
    </sheetView>
  </sheetViews>
  <sheetFormatPr baseColWidth="10" defaultColWidth="11.1796875" defaultRowHeight="15" customHeight="1"/>
  <cols>
    <col min="1" max="1" width="0.1796875" customWidth="1"/>
    <col min="2" max="2" width="1" customWidth="1"/>
    <col min="3" max="3" width="25.36328125" customWidth="1"/>
    <col min="4" max="4" width="17.1796875" customWidth="1"/>
    <col min="5" max="5" width="10.453125" customWidth="1"/>
    <col min="6" max="6" width="1.90625" customWidth="1"/>
    <col min="7" max="7" width="7.54296875" customWidth="1"/>
    <col min="8" max="8" width="11.36328125" customWidth="1"/>
    <col min="9" max="9" width="11.1796875" customWidth="1"/>
    <col min="10" max="10" width="11.54296875" customWidth="1"/>
    <col min="11" max="11" width="1.36328125" customWidth="1"/>
    <col min="12" max="12" width="9.90625" customWidth="1"/>
    <col min="13" max="13" width="9.36328125" customWidth="1"/>
    <col min="14" max="14" width="7.453125" customWidth="1"/>
    <col min="15" max="15" width="8" customWidth="1"/>
    <col min="16" max="16" width="14.54296875" customWidth="1"/>
    <col min="17" max="17" width="5.36328125" customWidth="1"/>
    <col min="18" max="18" width="8.453125" customWidth="1"/>
    <col min="19" max="19" width="16.90625" customWidth="1"/>
    <col min="20" max="29" width="8.453125" customWidth="1"/>
  </cols>
  <sheetData>
    <row r="2" spans="3:16" ht="15.75" customHeight="1">
      <c r="C2" s="5" t="s">
        <v>8</v>
      </c>
      <c r="D2" s="440" t="str">
        <f>'Immobilie als Kapitalanlage'!C7</f>
        <v>2-ZKB</v>
      </c>
      <c r="E2" s="436"/>
      <c r="F2" s="436"/>
      <c r="G2" s="436"/>
      <c r="H2" s="436"/>
      <c r="I2" s="437"/>
      <c r="J2" s="6" t="s">
        <v>9</v>
      </c>
      <c r="K2" s="4"/>
      <c r="L2" s="7"/>
      <c r="M2" s="8"/>
      <c r="N2" s="8"/>
      <c r="O2" s="8"/>
      <c r="P2" s="8"/>
    </row>
    <row r="3" spans="3:16" ht="15.75" customHeight="1">
      <c r="C3" s="5" t="s">
        <v>10</v>
      </c>
      <c r="D3" s="440" t="e">
        <f>'Immobilie als Kapitalanlage'!#REF!</f>
        <v>#REF!</v>
      </c>
      <c r="E3" s="436"/>
      <c r="F3" s="436"/>
      <c r="G3" s="436"/>
      <c r="H3" s="436"/>
      <c r="I3" s="437"/>
      <c r="J3" s="9" t="s">
        <v>11</v>
      </c>
      <c r="K3" s="4"/>
      <c r="L3" s="4"/>
      <c r="M3" s="10"/>
      <c r="N3" s="10"/>
      <c r="O3" s="10"/>
      <c r="P3" s="10"/>
    </row>
    <row r="4" spans="3:16" ht="15.75" customHeight="1">
      <c r="C4" s="5" t="s">
        <v>12</v>
      </c>
      <c r="D4" s="11">
        <f>'Immobilie als Kapitalanlage'!C8</f>
        <v>249000</v>
      </c>
      <c r="E4" s="5" t="s">
        <v>13</v>
      </c>
      <c r="F4" s="12"/>
      <c r="G4" s="13">
        <f>'Immobilie als Kapitalanlage'!C9</f>
        <v>51</v>
      </c>
      <c r="H4" s="5" t="s">
        <v>14</v>
      </c>
      <c r="I4" s="14">
        <f>'Immobilie als Kapitalanlage'!I32</f>
        <v>0</v>
      </c>
      <c r="J4" s="15">
        <f>D6/G4</f>
        <v>4882.3529411764703</v>
      </c>
      <c r="K4" s="4"/>
      <c r="L4" s="4"/>
      <c r="M4" s="10"/>
      <c r="N4" s="10"/>
      <c r="O4" s="10"/>
      <c r="P4" s="10"/>
    </row>
    <row r="5" spans="3:16" ht="15.75" customHeight="1">
      <c r="C5" s="4"/>
      <c r="D5" s="4"/>
      <c r="E5" s="4"/>
      <c r="F5" s="4"/>
      <c r="G5" s="4"/>
      <c r="H5" s="4"/>
      <c r="I5" s="4"/>
      <c r="J5" s="4"/>
      <c r="K5" s="4"/>
      <c r="L5" s="4"/>
      <c r="M5" s="16"/>
      <c r="N5" s="16"/>
      <c r="O5" s="16"/>
      <c r="P5" s="16"/>
    </row>
    <row r="6" spans="3:16" ht="15.75" customHeight="1">
      <c r="C6" s="17" t="s">
        <v>15</v>
      </c>
      <c r="D6" s="18">
        <f>'Immobilie als Kapitalanlage'!C13</f>
        <v>249000</v>
      </c>
      <c r="E6" s="19"/>
      <c r="F6" s="4"/>
      <c r="G6" s="123">
        <v>10</v>
      </c>
      <c r="H6" s="4"/>
      <c r="I6" s="4"/>
      <c r="J6" s="4"/>
      <c r="K6" s="4"/>
      <c r="L6" s="4"/>
      <c r="M6" s="439"/>
      <c r="N6" s="436"/>
      <c r="O6" s="437"/>
      <c r="P6" s="20"/>
    </row>
    <row r="7" spans="3:16" ht="15.75" customHeight="1">
      <c r="C7" s="21" t="str">
        <f>'Immobilie als Kapitalanlage'!B14</f>
        <v>Kaufpreis Stellplatz:</v>
      </c>
      <c r="D7" s="22">
        <f>'Immobilie als Kapitalanlage'!C14</f>
        <v>0</v>
      </c>
      <c r="E7" s="23"/>
      <c r="F7" s="4"/>
      <c r="G7" s="4"/>
      <c r="H7" s="4"/>
      <c r="I7" s="4"/>
      <c r="J7" s="4"/>
      <c r="K7" s="4"/>
      <c r="L7" s="4"/>
      <c r="M7" s="439"/>
      <c r="N7" s="436"/>
      <c r="O7" s="437"/>
      <c r="P7" s="20"/>
    </row>
    <row r="8" spans="3:16" ht="15.75" customHeight="1">
      <c r="C8" s="21" t="s">
        <v>17</v>
      </c>
      <c r="D8" s="22">
        <f>'Immobilie als Kapitalanlage'!C15</f>
        <v>0</v>
      </c>
      <c r="E8" s="24"/>
      <c r="F8" s="4"/>
      <c r="G8" s="4"/>
      <c r="H8" s="4"/>
      <c r="I8" s="4"/>
      <c r="J8" s="4"/>
      <c r="K8" s="4"/>
      <c r="L8" s="4"/>
      <c r="M8" s="10"/>
      <c r="N8" s="10"/>
      <c r="O8" s="10"/>
      <c r="P8" s="10"/>
    </row>
    <row r="9" spans="3:16" ht="15.75" customHeight="1">
      <c r="C9" s="25" t="s">
        <v>18</v>
      </c>
      <c r="D9" s="26">
        <f>'Immobilie als Kapitalanlage'!C16</f>
        <v>249000</v>
      </c>
      <c r="E9" s="24"/>
      <c r="F9" s="4"/>
      <c r="G9" s="4"/>
      <c r="H9" s="4"/>
      <c r="I9" s="4"/>
      <c r="J9" s="4"/>
      <c r="K9" s="4"/>
      <c r="L9" s="4"/>
      <c r="M9" s="441"/>
      <c r="N9" s="422"/>
      <c r="O9" s="422"/>
      <c r="P9" s="422"/>
    </row>
    <row r="10" spans="3:16" ht="15.75" customHeight="1">
      <c r="C10" s="27" t="s">
        <v>20</v>
      </c>
      <c r="D10" s="28">
        <f>'Immobilie als Kapitalanlage'!C17</f>
        <v>12450</v>
      </c>
      <c r="E10" s="29">
        <f>'Immobilie als Kapitalanlage'!D17</f>
        <v>0.05</v>
      </c>
      <c r="F10" s="4"/>
      <c r="G10" s="30"/>
      <c r="H10" s="4"/>
      <c r="I10" s="4"/>
      <c r="J10" s="4"/>
      <c r="K10" s="4"/>
      <c r="L10" s="4"/>
      <c r="M10" s="439"/>
      <c r="N10" s="436"/>
      <c r="O10" s="437"/>
      <c r="P10" s="31"/>
    </row>
    <row r="11" spans="3:16" ht="15.75" customHeight="1">
      <c r="C11" s="32" t="s">
        <v>21</v>
      </c>
      <c r="D11" s="33">
        <f>'Immobilie als Kapitalanlage'!C18</f>
        <v>4980</v>
      </c>
      <c r="E11" s="34">
        <f>'Immobilie als Kapitalanlage'!D18</f>
        <v>0.02</v>
      </c>
      <c r="F11" s="4"/>
      <c r="G11" s="30"/>
      <c r="H11" s="4"/>
      <c r="I11" s="4"/>
      <c r="J11" s="4"/>
      <c r="K11" s="4"/>
      <c r="L11" s="4"/>
      <c r="M11" s="439"/>
      <c r="N11" s="436"/>
      <c r="O11" s="437"/>
      <c r="P11" s="35"/>
    </row>
    <row r="12" spans="3:16" ht="15.75" customHeight="1">
      <c r="C12" s="32" t="s">
        <v>23</v>
      </c>
      <c r="D12" s="33">
        <f>'Immobilie als Kapitalanlage'!C19</f>
        <v>6225</v>
      </c>
      <c r="E12" s="34">
        <f>'Immobilie als Kapitalanlage'!D19</f>
        <v>2.5000000000000001E-2</v>
      </c>
      <c r="F12" s="4"/>
      <c r="G12" s="4"/>
      <c r="H12" s="4"/>
      <c r="I12" s="4"/>
      <c r="J12" s="4"/>
      <c r="K12" s="4"/>
      <c r="L12" s="4"/>
      <c r="M12" s="428"/>
      <c r="N12" s="429"/>
      <c r="O12" s="430"/>
      <c r="P12" s="36"/>
    </row>
    <row r="13" spans="3:16" ht="15.75" customHeight="1">
      <c r="C13" s="25" t="s">
        <v>24</v>
      </c>
      <c r="D13" s="37">
        <f>'Immobilie als Kapitalanlage'!C20</f>
        <v>23655</v>
      </c>
      <c r="E13" s="38">
        <f>'Immobilie als Kapitalanlage'!D20</f>
        <v>9.5000000000000001E-2</v>
      </c>
      <c r="F13" s="4"/>
      <c r="G13" s="4"/>
      <c r="H13" s="4"/>
      <c r="I13" s="4"/>
      <c r="J13" s="4"/>
      <c r="K13" s="4"/>
      <c r="L13" s="4"/>
      <c r="M13" s="431"/>
      <c r="N13" s="425"/>
      <c r="O13" s="426"/>
      <c r="P13" s="39"/>
    </row>
    <row r="14" spans="3:16" ht="15.75" customHeight="1">
      <c r="C14" s="40"/>
      <c r="D14" s="4"/>
      <c r="E14" s="4"/>
      <c r="F14" s="4"/>
      <c r="G14" s="4"/>
      <c r="H14" s="4"/>
      <c r="I14" s="4"/>
      <c r="J14" s="4"/>
      <c r="K14" s="4"/>
      <c r="L14" s="4"/>
    </row>
    <row r="15" spans="3:16" ht="15.75" customHeight="1">
      <c r="C15" s="41" t="s">
        <v>25</v>
      </c>
      <c r="D15" s="42"/>
      <c r="E15" s="43">
        <f>D15/D9</f>
        <v>0</v>
      </c>
      <c r="F15" s="4"/>
      <c r="G15" s="4"/>
      <c r="H15" s="4"/>
      <c r="I15" s="4"/>
      <c r="J15" s="4"/>
      <c r="K15" s="4"/>
      <c r="L15" s="4"/>
      <c r="M15" s="44"/>
      <c r="N15" s="44"/>
      <c r="O15" s="44"/>
      <c r="P15" s="44"/>
    </row>
    <row r="16" spans="3:16" ht="15.75" customHeight="1">
      <c r="C16" s="40"/>
      <c r="D16" s="45"/>
      <c r="E16" s="4"/>
      <c r="F16" s="4"/>
      <c r="G16" s="4"/>
      <c r="H16" s="4"/>
      <c r="I16" s="4"/>
      <c r="J16" s="4"/>
      <c r="K16" s="4"/>
      <c r="L16" s="4"/>
      <c r="M16" s="432" t="s">
        <v>26</v>
      </c>
      <c r="N16" s="422"/>
      <c r="O16" s="422"/>
      <c r="P16" s="422"/>
    </row>
    <row r="17" spans="3:16" ht="15.75" customHeight="1">
      <c r="C17" s="46" t="s">
        <v>27</v>
      </c>
      <c r="D17" s="47">
        <f>(VLOOKUP(G6,'Cashflow Details'!$1:$1005,6,))-D15</f>
        <v>204356.63110738579</v>
      </c>
      <c r="E17" s="19"/>
      <c r="F17" s="4"/>
      <c r="G17" s="4"/>
      <c r="H17" s="4"/>
      <c r="I17" s="4"/>
      <c r="J17" s="4"/>
      <c r="K17" s="4"/>
      <c r="L17" s="4"/>
      <c r="M17" s="433" t="s">
        <v>28</v>
      </c>
      <c r="N17" s="422"/>
      <c r="O17" s="422"/>
      <c r="P17" s="422"/>
    </row>
    <row r="18" spans="3:16" ht="15.75" customHeight="1">
      <c r="C18" s="48" t="s">
        <v>29</v>
      </c>
      <c r="D18" s="49">
        <f>-(D17*E18/12)</f>
        <v>-681.18877035795265</v>
      </c>
      <c r="E18" s="50">
        <v>0.04</v>
      </c>
      <c r="F18" s="4"/>
      <c r="G18" s="4"/>
      <c r="H18" s="4"/>
      <c r="I18" s="4"/>
      <c r="J18" s="4"/>
      <c r="K18" s="4"/>
      <c r="L18" s="4"/>
      <c r="M18" s="422"/>
      <c r="N18" s="422"/>
      <c r="O18" s="422"/>
      <c r="P18" s="422"/>
    </row>
    <row r="19" spans="3:16" ht="15.75" customHeight="1">
      <c r="C19" s="51" t="s">
        <v>30</v>
      </c>
      <c r="D19" s="52">
        <f>(VLOOKUP(G6,'Cashflow Details'!$1:$1005,19,))/12</f>
        <v>-24.37988839989514</v>
      </c>
      <c r="E19" s="10"/>
      <c r="F19" s="4"/>
      <c r="G19" s="4"/>
      <c r="H19" s="4"/>
      <c r="I19" s="4"/>
      <c r="J19" s="4"/>
      <c r="K19" s="4"/>
      <c r="L19" s="4"/>
      <c r="M19" s="422"/>
      <c r="N19" s="422"/>
      <c r="O19" s="422"/>
      <c r="P19" s="422"/>
    </row>
    <row r="20" spans="3:16" ht="15.75" customHeight="1">
      <c r="C20" s="51" t="s">
        <v>31</v>
      </c>
      <c r="D20" s="52">
        <f>(VLOOKUP(G6,'Cashflow Details'!$1:$1005,22,))/12</f>
        <v>-60.949720999737849</v>
      </c>
      <c r="E20" s="10"/>
      <c r="F20" s="4"/>
      <c r="G20" s="4"/>
      <c r="H20" s="4"/>
      <c r="I20" s="4"/>
      <c r="J20" s="4"/>
      <c r="K20" s="4"/>
      <c r="L20" s="4"/>
      <c r="M20" s="422"/>
      <c r="N20" s="422"/>
      <c r="O20" s="422"/>
      <c r="P20" s="422"/>
    </row>
    <row r="21" spans="3:16" ht="15.75" customHeight="1">
      <c r="C21" s="51" t="s">
        <v>32</v>
      </c>
      <c r="D21" s="52">
        <f>(VLOOKUP(G6,'Cashflow Details'!$1:$1005,20,))/12</f>
        <v>-84.851572372184066</v>
      </c>
      <c r="E21" s="53"/>
      <c r="F21" s="10"/>
      <c r="G21" s="10"/>
      <c r="H21" s="10"/>
      <c r="I21" s="10"/>
      <c r="J21" s="54"/>
      <c r="K21" s="4"/>
      <c r="L21" s="4"/>
      <c r="M21" s="422"/>
      <c r="N21" s="422"/>
      <c r="O21" s="422"/>
      <c r="P21" s="422"/>
    </row>
    <row r="22" spans="3:16" ht="15.75" customHeight="1">
      <c r="C22" s="51" t="s">
        <v>33</v>
      </c>
      <c r="D22" s="52">
        <f>(VLOOKUP(G6,'Cashflow Details'!$1:$1005,21,))/12</f>
        <v>-35.852777058669325</v>
      </c>
      <c r="E22" s="55"/>
      <c r="F22" s="56"/>
      <c r="G22" s="56"/>
      <c r="H22" s="57">
        <f>H24/G4</f>
        <v>22.706758803823902</v>
      </c>
      <c r="I22" s="58">
        <f>'Immobilie als Kapitalanlage'!H42</f>
        <v>16.666666666666668</v>
      </c>
      <c r="J22" s="59"/>
      <c r="K22" s="4"/>
      <c r="L22" s="4"/>
      <c r="M22" s="422"/>
      <c r="N22" s="422"/>
      <c r="O22" s="422"/>
      <c r="P22" s="422"/>
    </row>
    <row r="23" spans="3:16" ht="15.75" customHeight="1">
      <c r="C23" s="60" t="s">
        <v>34</v>
      </c>
      <c r="D23" s="61">
        <f>SUM(D18:D22)</f>
        <v>-887.22272918843885</v>
      </c>
      <c r="E23" s="55"/>
      <c r="F23" s="62"/>
      <c r="G23" s="434"/>
      <c r="H23" s="63" t="s">
        <v>88</v>
      </c>
      <c r="I23" s="64" t="s">
        <v>89</v>
      </c>
      <c r="J23" s="65"/>
      <c r="K23" s="4"/>
      <c r="L23" s="4"/>
      <c r="M23" s="422"/>
      <c r="N23" s="422"/>
      <c r="O23" s="422"/>
      <c r="P23" s="422"/>
    </row>
    <row r="24" spans="3:16" ht="15.75" customHeight="1">
      <c r="C24" s="66" t="s">
        <v>35</v>
      </c>
      <c r="D24" s="67">
        <f>(VLOOKUP(G6,'Cashflow Details'!$1:$1005,24,))/12</f>
        <v>1158.044698995019</v>
      </c>
      <c r="E24" s="68"/>
      <c r="F24" s="62"/>
      <c r="G24" s="422"/>
      <c r="H24" s="69">
        <f>D24</f>
        <v>1158.044698995019</v>
      </c>
      <c r="I24" s="70">
        <f>'Immobilie als Kapitalanlage'!H43</f>
        <v>850</v>
      </c>
      <c r="J24" s="71"/>
      <c r="K24" s="72"/>
      <c r="L24" s="72"/>
      <c r="M24" s="422"/>
      <c r="N24" s="422"/>
      <c r="O24" s="422"/>
      <c r="P24" s="422"/>
    </row>
    <row r="25" spans="3:16" ht="15.75" customHeight="1">
      <c r="C25" s="66" t="str">
        <f>'Immobilie als Kapitalanlage'!B34</f>
        <v>Steuerersparnis (Steuerpfand)</v>
      </c>
      <c r="D25" s="73">
        <f ca="1">IF('Immobilie als Kapitalanlage'!C2="ledig",VLOOKUP(G6,'Cashflow Details'!$73:$1005,58,),VLOOKUP(G6,'Cashflow Details'!$73:$1005,59,))/12</f>
        <v>-130.25</v>
      </c>
      <c r="E25" s="74">
        <f ca="1">D25*12</f>
        <v>-1563</v>
      </c>
      <c r="F25" s="62"/>
      <c r="G25" s="422"/>
      <c r="H25" s="75">
        <f ca="1">D23+D27+D28+D25</f>
        <v>-1358.0671143674151</v>
      </c>
      <c r="I25" s="76">
        <f>'Immobilie als Kapitalanlage'!H45</f>
        <v>-1079.4000000000001</v>
      </c>
      <c r="J25" s="77"/>
      <c r="K25" s="4"/>
      <c r="L25" s="4"/>
      <c r="M25" s="422"/>
      <c r="N25" s="422"/>
      <c r="O25" s="422"/>
      <c r="P25" s="422"/>
    </row>
    <row r="26" spans="3:16" ht="15.75" customHeight="1">
      <c r="C26" s="60" t="s">
        <v>36</v>
      </c>
      <c r="D26" s="61">
        <f ca="1">D23+D24+D25</f>
        <v>140.57196980658011</v>
      </c>
      <c r="E26" s="4"/>
      <c r="F26" s="78"/>
      <c r="G26" s="79" t="s">
        <v>37</v>
      </c>
      <c r="H26" s="80">
        <f ca="1">SUM(H24:H25)</f>
        <v>-200.02241537239615</v>
      </c>
      <c r="I26" s="81">
        <f>'Immobilie als Kapitalanlage'!H44</f>
        <v>-229.40000000000009</v>
      </c>
      <c r="J26" s="82"/>
      <c r="K26" s="4"/>
      <c r="L26" s="4"/>
      <c r="M26" s="422"/>
      <c r="N26" s="422"/>
      <c r="O26" s="422"/>
      <c r="P26" s="422"/>
    </row>
    <row r="27" spans="3:16" ht="15.75" customHeight="1">
      <c r="C27" s="51" t="s">
        <v>38</v>
      </c>
      <c r="D27" s="49">
        <f>-D17*E27/12</f>
        <v>-340.59438517897632</v>
      </c>
      <c r="E27" s="83">
        <v>0.02</v>
      </c>
      <c r="F27" s="4"/>
      <c r="G27" s="4"/>
      <c r="H27" s="4"/>
      <c r="K27" s="4"/>
      <c r="L27" s="4"/>
      <c r="M27" s="84"/>
      <c r="N27" s="84"/>
      <c r="O27" s="84"/>
      <c r="P27" s="84"/>
    </row>
    <row r="28" spans="3:16" ht="15.75" customHeight="1">
      <c r="C28" s="85" t="s">
        <v>39</v>
      </c>
      <c r="D28" s="86">
        <f>-D17*E28/12</f>
        <v>0</v>
      </c>
      <c r="E28" s="87">
        <v>0</v>
      </c>
      <c r="F28" s="4"/>
      <c r="G28" s="4"/>
      <c r="H28" s="4"/>
      <c r="K28" s="4"/>
      <c r="L28" s="4"/>
      <c r="M28" s="84"/>
      <c r="N28" s="84"/>
      <c r="O28" s="84"/>
      <c r="P28" s="84"/>
    </row>
    <row r="29" spans="3:16" ht="15.75" customHeight="1">
      <c r="C29" s="4"/>
      <c r="D29" s="4"/>
      <c r="E29" s="4"/>
      <c r="F29" s="4"/>
      <c r="G29" s="4"/>
      <c r="H29" s="4"/>
      <c r="K29" s="4"/>
      <c r="L29" s="4"/>
      <c r="M29" s="84"/>
      <c r="N29" s="84"/>
      <c r="O29" s="84"/>
      <c r="P29" s="84"/>
    </row>
    <row r="30" spans="3:16" ht="15.75" customHeight="1">
      <c r="C30" s="89" t="s">
        <v>40</v>
      </c>
      <c r="D30" s="90" t="s">
        <v>41</v>
      </c>
      <c r="E30" s="435" t="s">
        <v>42</v>
      </c>
      <c r="F30" s="436"/>
      <c r="G30" s="437"/>
      <c r="H30" s="91" t="s">
        <v>43</v>
      </c>
      <c r="I30" s="91" t="s">
        <v>44</v>
      </c>
      <c r="J30" s="90" t="s">
        <v>45</v>
      </c>
      <c r="K30" s="88"/>
      <c r="L30" s="88"/>
      <c r="M30" s="438"/>
      <c r="N30" s="422"/>
      <c r="O30" s="422"/>
      <c r="P30" s="92"/>
    </row>
    <row r="31" spans="3:16" ht="17.25" customHeight="1">
      <c r="C31" s="93">
        <f>G6</f>
        <v>10</v>
      </c>
      <c r="D31" s="94">
        <f>ROUND(-VLOOKUP(C31,'Cashflow Details'!$1:$1005,6,)/1000,0)</f>
        <v>-204</v>
      </c>
      <c r="E31" s="424">
        <f>ROUND(VLOOKUP(C31,'Cashflow Details'!$1:$1005,4,)/1000,0)</f>
        <v>275</v>
      </c>
      <c r="F31" s="425"/>
      <c r="G31" s="426"/>
      <c r="H31" s="95">
        <f>ROUND(VLOOKUP(C31,'Cashflow Details'!$1:$1005,27,)/1000,0)</f>
        <v>0</v>
      </c>
      <c r="I31" s="95">
        <f>ROUND(IF('Immobilie als Kapitalanlage'!C2="ledig",VLOOKUP(C31,'Cashflow Details'!$1:$1005,79),VLOOKUP(C31,'Cashflow Details'!$1:$1005,81))/1000,0)</f>
        <v>-41</v>
      </c>
      <c r="J31" s="96">
        <f>D31+E31+H31</f>
        <v>71</v>
      </c>
      <c r="K31" s="97"/>
      <c r="L31" s="88"/>
      <c r="M31" s="92"/>
      <c r="N31" s="92"/>
      <c r="O31" s="92"/>
      <c r="P31" s="92"/>
    </row>
    <row r="32" spans="3:16" ht="17.25" customHeight="1">
      <c r="C32" s="93"/>
      <c r="D32" s="94"/>
      <c r="E32" s="424"/>
      <c r="F32" s="425"/>
      <c r="G32" s="426"/>
      <c r="H32" s="95"/>
      <c r="I32" s="95"/>
      <c r="J32" s="96"/>
      <c r="K32" s="98"/>
      <c r="L32" s="88"/>
      <c r="M32" s="92"/>
      <c r="N32" s="92"/>
      <c r="O32" s="92"/>
      <c r="P32" s="92"/>
    </row>
    <row r="33" spans="5:7" ht="17.25" customHeight="1">
      <c r="E33" s="424"/>
      <c r="F33" s="425"/>
      <c r="G33" s="426"/>
    </row>
    <row r="34" spans="5:7" ht="17.25" customHeight="1">
      <c r="E34" s="424"/>
      <c r="F34" s="425"/>
      <c r="G34" s="426"/>
    </row>
    <row r="35" spans="5:7" ht="5.25" customHeight="1">
      <c r="E35" s="99"/>
      <c r="F35" s="99"/>
      <c r="G35" s="99"/>
    </row>
    <row r="36" spans="5:7" ht="15.75" customHeight="1">
      <c r="E36" s="424"/>
      <c r="F36" s="425"/>
      <c r="G36" s="426"/>
    </row>
    <row r="37" spans="5:7" ht="15.75" customHeight="1">
      <c r="E37" s="4"/>
      <c r="F37" s="4"/>
      <c r="G37" s="4"/>
    </row>
    <row r="38" spans="5:7" ht="15.75" customHeight="1">
      <c r="E38" s="427"/>
      <c r="F38" s="422"/>
      <c r="G38" s="422"/>
    </row>
  </sheetData>
  <mergeCells count="19">
    <mergeCell ref="D2:I2"/>
    <mergeCell ref="D3:I3"/>
    <mergeCell ref="M6:O6"/>
    <mergeCell ref="M7:O7"/>
    <mergeCell ref="M9:P9"/>
    <mergeCell ref="M10:O10"/>
    <mergeCell ref="M11:O11"/>
    <mergeCell ref="E32:G32"/>
    <mergeCell ref="E33:G33"/>
    <mergeCell ref="E34:G34"/>
    <mergeCell ref="E36:G36"/>
    <mergeCell ref="E38:G38"/>
    <mergeCell ref="M12:O13"/>
    <mergeCell ref="M16:P16"/>
    <mergeCell ref="M17:P26"/>
    <mergeCell ref="G23:G25"/>
    <mergeCell ref="E30:G30"/>
    <mergeCell ref="M30:O30"/>
    <mergeCell ref="E31:G31"/>
  </mergeCells>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ummaryRight="0"/>
  </sheetPr>
  <dimension ref="B2:P484"/>
  <sheetViews>
    <sheetView workbookViewId="0">
      <selection activeCell="B53" sqref="B53"/>
    </sheetView>
  </sheetViews>
  <sheetFormatPr baseColWidth="10" defaultColWidth="11.1796875" defaultRowHeight="15" customHeight="1"/>
  <cols>
    <col min="1" max="1" width="3.08984375" style="132" customWidth="1"/>
    <col min="2" max="2" width="11.1796875" style="132" customWidth="1"/>
    <col min="3" max="3" width="8.6328125" style="132" customWidth="1"/>
    <col min="4" max="4" width="9.1796875" style="132" customWidth="1"/>
    <col min="5" max="6" width="11.1796875" style="132" customWidth="1"/>
    <col min="7" max="7" width="11.1796875" style="132"/>
    <col min="8" max="8" width="5.6328125" style="132" customWidth="1"/>
    <col min="9" max="10" width="11.1796875" style="132"/>
    <col min="11" max="11" width="5.6328125" style="132" customWidth="1"/>
    <col min="12" max="13" width="11.1796875" style="132"/>
    <col min="14" max="14" width="5.6328125" style="132" customWidth="1"/>
    <col min="15" max="16384" width="11.1796875" style="132"/>
  </cols>
  <sheetData>
    <row r="2" spans="2:16" ht="15.6">
      <c r="B2" s="288"/>
      <c r="C2" s="288"/>
      <c r="D2" s="288"/>
      <c r="E2" s="288"/>
      <c r="F2" s="289">
        <v>40</v>
      </c>
      <c r="G2" s="288"/>
      <c r="H2" s="288"/>
      <c r="I2" s="289">
        <v>30</v>
      </c>
      <c r="J2" s="288"/>
      <c r="K2" s="288"/>
      <c r="L2" s="289">
        <v>20</v>
      </c>
      <c r="M2" s="288"/>
      <c r="N2" s="288"/>
      <c r="O2" s="289">
        <v>10</v>
      </c>
      <c r="P2" s="288"/>
    </row>
    <row r="3" spans="2:16" ht="15.6">
      <c r="B3" s="290" t="s">
        <v>90</v>
      </c>
      <c r="C3" s="291">
        <f>'Immobilie als Kapitalanlage'!D43</f>
        <v>0.02</v>
      </c>
      <c r="D3" s="288"/>
      <c r="E3" s="289">
        <v>-1</v>
      </c>
      <c r="F3" s="292">
        <f ca="1">DATE(YEAR(F4),MONTH(F4),DAY(F4)-1)</f>
        <v>45900</v>
      </c>
      <c r="G3" s="293">
        <f>-'Immobilie als Kapitalanlage'!C23-'Immobilie als Kapitalanlage'!$G$95</f>
        <v>-23655</v>
      </c>
      <c r="H3" s="288"/>
      <c r="I3" s="292">
        <f t="shared" ref="I3:J3" ca="1" si="0">F3</f>
        <v>45900</v>
      </c>
      <c r="J3" s="293">
        <f t="shared" si="0"/>
        <v>-23655</v>
      </c>
      <c r="K3" s="288"/>
      <c r="L3" s="292">
        <f t="shared" ref="L3:M3" ca="1" si="1">I3</f>
        <v>45900</v>
      </c>
      <c r="M3" s="293">
        <f t="shared" si="1"/>
        <v>-23655</v>
      </c>
      <c r="N3" s="288"/>
      <c r="O3" s="292">
        <f t="shared" ref="O3:P3" ca="1" si="2">L3</f>
        <v>45900</v>
      </c>
      <c r="P3" s="293">
        <f t="shared" si="2"/>
        <v>-23655</v>
      </c>
    </row>
    <row r="4" spans="2:16" ht="15.6">
      <c r="B4" s="288"/>
      <c r="C4" s="288"/>
      <c r="D4" s="288"/>
      <c r="E4" s="289">
        <v>0</v>
      </c>
      <c r="F4" s="292">
        <f ca="1">DATE(YEAR(TODAY()),MONTH(TODAY()),1)</f>
        <v>45901</v>
      </c>
      <c r="G4" s="293">
        <f>VLOOKUP(E4+1,'Cashflow Details'!$1:$1005,123)/12</f>
        <v>-160.31666666666675</v>
      </c>
      <c r="H4" s="288"/>
      <c r="I4" s="292">
        <f t="shared" ref="I4:J4" ca="1" si="3">F4</f>
        <v>45901</v>
      </c>
      <c r="J4" s="293">
        <f t="shared" si="3"/>
        <v>-160.31666666666675</v>
      </c>
      <c r="K4" s="288"/>
      <c r="L4" s="292">
        <f t="shared" ref="L4:M4" ca="1" si="4">I4</f>
        <v>45901</v>
      </c>
      <c r="M4" s="293">
        <f t="shared" si="4"/>
        <v>-160.31666666666675</v>
      </c>
      <c r="N4" s="288"/>
      <c r="O4" s="292">
        <f t="shared" ref="O4:P4" ca="1" si="5">L4</f>
        <v>45901</v>
      </c>
      <c r="P4" s="293">
        <f t="shared" si="5"/>
        <v>-160.31666666666675</v>
      </c>
    </row>
    <row r="5" spans="2:16" ht="15.6">
      <c r="B5" s="288"/>
      <c r="C5" s="288"/>
      <c r="D5" s="288"/>
      <c r="E5" s="289">
        <v>0</v>
      </c>
      <c r="F5" s="292">
        <f t="shared" ref="F5:F259" ca="1" si="6">DATE(YEAR(F4),MONTH(F4)+1,DAY(F4))</f>
        <v>45931</v>
      </c>
      <c r="G5" s="293">
        <f>VLOOKUP(E5+1,'Cashflow Details'!$1:$1005,123)/12</f>
        <v>-160.31666666666675</v>
      </c>
      <c r="H5" s="288"/>
      <c r="I5" s="292">
        <f t="shared" ref="I5:J5" ca="1" si="7">F5</f>
        <v>45931</v>
      </c>
      <c r="J5" s="293">
        <f t="shared" si="7"/>
        <v>-160.31666666666675</v>
      </c>
      <c r="K5" s="288"/>
      <c r="L5" s="292">
        <f t="shared" ref="L5:M5" ca="1" si="8">I5</f>
        <v>45931</v>
      </c>
      <c r="M5" s="293">
        <f t="shared" si="8"/>
        <v>-160.31666666666675</v>
      </c>
      <c r="N5" s="288"/>
      <c r="O5" s="292">
        <f t="shared" ref="O5:P5" ca="1" si="9">L5</f>
        <v>45931</v>
      </c>
      <c r="P5" s="293">
        <f t="shared" si="9"/>
        <v>-160.31666666666675</v>
      </c>
    </row>
    <row r="6" spans="2:16" ht="15.6">
      <c r="B6" s="294" t="s">
        <v>91</v>
      </c>
      <c r="C6" s="295">
        <f ca="1">XIRR(P3:P124,O3:O124)</f>
        <v>1.2037293553352357</v>
      </c>
      <c r="D6" s="296">
        <f ca="1">C6+C12+D12</f>
        <v>1.2287293553352356</v>
      </c>
      <c r="E6" s="289">
        <v>0</v>
      </c>
      <c r="F6" s="292">
        <f t="shared" ca="1" si="6"/>
        <v>45962</v>
      </c>
      <c r="G6" s="293">
        <f>VLOOKUP(E6+1,'Cashflow Details'!$1:$1005,123)/12</f>
        <v>-160.31666666666675</v>
      </c>
      <c r="H6" s="288"/>
      <c r="I6" s="292">
        <f t="shared" ref="I6:J6" ca="1" si="10">F6</f>
        <v>45962</v>
      </c>
      <c r="J6" s="293">
        <f t="shared" si="10"/>
        <v>-160.31666666666675</v>
      </c>
      <c r="K6" s="288"/>
      <c r="L6" s="292">
        <f t="shared" ref="L6:M6" ca="1" si="11">I6</f>
        <v>45962</v>
      </c>
      <c r="M6" s="293">
        <f t="shared" si="11"/>
        <v>-160.31666666666675</v>
      </c>
      <c r="N6" s="288"/>
      <c r="O6" s="292">
        <f t="shared" ref="O6:P6" ca="1" si="12">L6</f>
        <v>45962</v>
      </c>
      <c r="P6" s="293">
        <f t="shared" si="12"/>
        <v>-160.31666666666675</v>
      </c>
    </row>
    <row r="7" spans="2:16" ht="15.6">
      <c r="B7" s="294" t="s">
        <v>92</v>
      </c>
      <c r="C7" s="295">
        <f ca="1">XIRR(M3:M244,L3:L244)</f>
        <v>0.49628246426582334</v>
      </c>
      <c r="D7" s="296">
        <f t="shared" ref="D7:D9" ca="1" si="13">C7+C16+D16</f>
        <v>0.52628246426582337</v>
      </c>
      <c r="E7" s="289">
        <v>0</v>
      </c>
      <c r="F7" s="292">
        <f t="shared" ca="1" si="6"/>
        <v>45992</v>
      </c>
      <c r="G7" s="293">
        <f>VLOOKUP(E7+1,'Cashflow Details'!$1:$1005,123)/12</f>
        <v>-160.31666666666675</v>
      </c>
      <c r="H7" s="288"/>
      <c r="I7" s="292">
        <f t="shared" ref="I7:J7" ca="1" si="14">F7</f>
        <v>45992</v>
      </c>
      <c r="J7" s="293">
        <f t="shared" si="14"/>
        <v>-160.31666666666675</v>
      </c>
      <c r="K7" s="288"/>
      <c r="L7" s="292">
        <f t="shared" ref="L7:M7" ca="1" si="15">I7</f>
        <v>45992</v>
      </c>
      <c r="M7" s="293">
        <f t="shared" si="15"/>
        <v>-160.31666666666675</v>
      </c>
      <c r="N7" s="288"/>
      <c r="O7" s="292">
        <f t="shared" ref="O7:P7" ca="1" si="16">L7</f>
        <v>45992</v>
      </c>
      <c r="P7" s="293">
        <f t="shared" si="16"/>
        <v>-160.31666666666675</v>
      </c>
    </row>
    <row r="8" spans="2:16" ht="15.6">
      <c r="B8" s="294" t="s">
        <v>93</v>
      </c>
      <c r="C8" s="295">
        <f ca="1">XIRR(J3:J364,I3:I364)</f>
        <v>0.3390354692935944</v>
      </c>
      <c r="D8" s="296">
        <f t="shared" ca="1" si="13"/>
        <v>0.36103546929359442</v>
      </c>
      <c r="E8" s="289">
        <v>0</v>
      </c>
      <c r="F8" s="292">
        <f t="shared" ca="1" si="6"/>
        <v>46023</v>
      </c>
      <c r="G8" s="293">
        <f>VLOOKUP(E8+1,'Cashflow Details'!$1:$1005,123)/12</f>
        <v>-160.31666666666675</v>
      </c>
      <c r="H8" s="288"/>
      <c r="I8" s="292">
        <f t="shared" ref="I8:J8" ca="1" si="17">F8</f>
        <v>46023</v>
      </c>
      <c r="J8" s="293">
        <f t="shared" si="17"/>
        <v>-160.31666666666675</v>
      </c>
      <c r="K8" s="288"/>
      <c r="L8" s="292">
        <f t="shared" ref="L8:M8" ca="1" si="18">I8</f>
        <v>46023</v>
      </c>
      <c r="M8" s="293">
        <f t="shared" si="18"/>
        <v>-160.31666666666675</v>
      </c>
      <c r="N8" s="288"/>
      <c r="O8" s="292">
        <f t="shared" ref="O8:P8" ca="1" si="19">L8</f>
        <v>46023</v>
      </c>
      <c r="P8" s="293">
        <f t="shared" si="19"/>
        <v>-160.31666666666675</v>
      </c>
    </row>
    <row r="9" spans="2:16" ht="15.6">
      <c r="B9" s="294" t="s">
        <v>94</v>
      </c>
      <c r="C9" s="295">
        <f ca="1">XIRR(G3:G484,F3:F484)</f>
        <v>0.26016865372657783</v>
      </c>
      <c r="D9" s="296">
        <f t="shared" ca="1" si="13"/>
        <v>0.28016865372657784</v>
      </c>
      <c r="E9" s="289">
        <v>0</v>
      </c>
      <c r="F9" s="292">
        <f t="shared" ca="1" si="6"/>
        <v>46054</v>
      </c>
      <c r="G9" s="293">
        <f>VLOOKUP(E9+1,'Cashflow Details'!$1:$1005,123)/12</f>
        <v>-160.31666666666675</v>
      </c>
      <c r="H9" s="288"/>
      <c r="I9" s="292">
        <f t="shared" ref="I9:J9" ca="1" si="20">F9</f>
        <v>46054</v>
      </c>
      <c r="J9" s="293">
        <f t="shared" si="20"/>
        <v>-160.31666666666675</v>
      </c>
      <c r="K9" s="288"/>
      <c r="L9" s="292">
        <f t="shared" ref="L9:M9" ca="1" si="21">I9</f>
        <v>46054</v>
      </c>
      <c r="M9" s="293">
        <f t="shared" si="21"/>
        <v>-160.31666666666675</v>
      </c>
      <c r="N9" s="288"/>
      <c r="O9" s="292">
        <f t="shared" ref="O9:P9" ca="1" si="22">L9</f>
        <v>46054</v>
      </c>
      <c r="P9" s="293">
        <f t="shared" si="22"/>
        <v>-160.31666666666675</v>
      </c>
    </row>
    <row r="10" spans="2:16" ht="15.6">
      <c r="B10" s="288"/>
      <c r="C10" s="288"/>
      <c r="D10" s="288"/>
      <c r="E10" s="289">
        <v>0</v>
      </c>
      <c r="F10" s="292">
        <f t="shared" ca="1" si="6"/>
        <v>46082</v>
      </c>
      <c r="G10" s="293">
        <f>VLOOKUP(E10+1,'Cashflow Details'!$1:$1005,123)/12</f>
        <v>-160.31666666666675</v>
      </c>
      <c r="H10" s="288"/>
      <c r="I10" s="292">
        <f t="shared" ref="I10:J10" ca="1" si="23">F10</f>
        <v>46082</v>
      </c>
      <c r="J10" s="293">
        <f t="shared" si="23"/>
        <v>-160.31666666666675</v>
      </c>
      <c r="K10" s="288"/>
      <c r="L10" s="292">
        <f t="shared" ref="L10:M10" ca="1" si="24">I10</f>
        <v>46082</v>
      </c>
      <c r="M10" s="293">
        <f t="shared" si="24"/>
        <v>-160.31666666666675</v>
      </c>
      <c r="N10" s="288"/>
      <c r="O10" s="292">
        <f t="shared" ref="O10:P10" ca="1" si="25">L10</f>
        <v>46082</v>
      </c>
      <c r="P10" s="293">
        <f t="shared" si="25"/>
        <v>-160.31666666666675</v>
      </c>
    </row>
    <row r="11" spans="2:16" ht="15.6">
      <c r="B11" s="288" t="s">
        <v>95</v>
      </c>
      <c r="C11" s="288"/>
      <c r="D11" s="288" t="s">
        <v>96</v>
      </c>
      <c r="E11" s="289">
        <v>0</v>
      </c>
      <c r="F11" s="292">
        <f t="shared" ca="1" si="6"/>
        <v>46113</v>
      </c>
      <c r="G11" s="293">
        <f>VLOOKUP(E11+1,'Cashflow Details'!$1:$1005,123)/12</f>
        <v>-160.31666666666675</v>
      </c>
      <c r="H11" s="288"/>
      <c r="I11" s="292">
        <f t="shared" ref="I11:J11" ca="1" si="26">F11</f>
        <v>46113</v>
      </c>
      <c r="J11" s="293">
        <f t="shared" si="26"/>
        <v>-160.31666666666675</v>
      </c>
      <c r="K11" s="288"/>
      <c r="L11" s="292">
        <f t="shared" ref="L11:M11" ca="1" si="27">I11</f>
        <v>46113</v>
      </c>
      <c r="M11" s="293">
        <f t="shared" si="27"/>
        <v>-160.31666666666675</v>
      </c>
      <c r="N11" s="288"/>
      <c r="O11" s="292">
        <f t="shared" ref="O11:P11" ca="1" si="28">L11</f>
        <v>46113</v>
      </c>
      <c r="P11" s="293">
        <f t="shared" si="28"/>
        <v>-160.31666666666675</v>
      </c>
    </row>
    <row r="12" spans="2:16" ht="15.6">
      <c r="B12" s="288" t="s">
        <v>97</v>
      </c>
      <c r="C12" s="291">
        <v>0.01</v>
      </c>
      <c r="D12" s="291">
        <v>1.4999999999999999E-2</v>
      </c>
      <c r="E12" s="289">
        <v>0</v>
      </c>
      <c r="F12" s="292">
        <f t="shared" ca="1" si="6"/>
        <v>46143</v>
      </c>
      <c r="G12" s="293">
        <f>VLOOKUP(E12+1,'Cashflow Details'!$1:$1005,123)/12</f>
        <v>-160.31666666666675</v>
      </c>
      <c r="H12" s="288"/>
      <c r="I12" s="292">
        <f t="shared" ref="I12:J12" ca="1" si="29">F12</f>
        <v>46143</v>
      </c>
      <c r="J12" s="293">
        <f t="shared" si="29"/>
        <v>-160.31666666666675</v>
      </c>
      <c r="K12" s="288"/>
      <c r="L12" s="292">
        <f t="shared" ref="L12:M12" ca="1" si="30">I12</f>
        <v>46143</v>
      </c>
      <c r="M12" s="293">
        <f t="shared" si="30"/>
        <v>-160.31666666666675</v>
      </c>
      <c r="N12" s="288"/>
      <c r="O12" s="292">
        <f t="shared" ref="O12:P12" ca="1" si="31">L12</f>
        <v>46143</v>
      </c>
      <c r="P12" s="293">
        <f t="shared" si="31"/>
        <v>-160.31666666666675</v>
      </c>
    </row>
    <row r="13" spans="2:16" ht="15.6">
      <c r="B13" s="288"/>
      <c r="C13" s="288"/>
      <c r="D13" s="288"/>
      <c r="E13" s="289">
        <v>0</v>
      </c>
      <c r="F13" s="292">
        <f t="shared" ca="1" si="6"/>
        <v>46174</v>
      </c>
      <c r="G13" s="293">
        <f>VLOOKUP(E13+1,'Cashflow Details'!$1:$1005,123)/12</f>
        <v>-160.31666666666675</v>
      </c>
      <c r="H13" s="288"/>
      <c r="I13" s="292">
        <f t="shared" ref="I13:J13" ca="1" si="32">F13</f>
        <v>46174</v>
      </c>
      <c r="J13" s="293">
        <f t="shared" si="32"/>
        <v>-160.31666666666675</v>
      </c>
      <c r="K13" s="288"/>
      <c r="L13" s="292">
        <f t="shared" ref="L13:M13" ca="1" si="33">I13</f>
        <v>46174</v>
      </c>
      <c r="M13" s="293">
        <f t="shared" si="33"/>
        <v>-160.31666666666675</v>
      </c>
      <c r="N13" s="288"/>
      <c r="O13" s="292">
        <f t="shared" ref="O13:P13" ca="1" si="34">L13</f>
        <v>46174</v>
      </c>
      <c r="P13" s="293">
        <f t="shared" si="34"/>
        <v>-160.31666666666675</v>
      </c>
    </row>
    <row r="14" spans="2:16" ht="15.6">
      <c r="B14" s="288" t="s">
        <v>98</v>
      </c>
      <c r="C14" s="288"/>
      <c r="D14" s="288"/>
      <c r="E14" s="289">
        <v>0</v>
      </c>
      <c r="F14" s="292">
        <f t="shared" ca="1" si="6"/>
        <v>46204</v>
      </c>
      <c r="G14" s="293">
        <f>VLOOKUP(E14+1,'Cashflow Details'!$1:$1005,123)/12</f>
        <v>-160.31666666666675</v>
      </c>
      <c r="H14" s="288"/>
      <c r="I14" s="292">
        <f t="shared" ref="I14:J14" ca="1" si="35">F14</f>
        <v>46204</v>
      </c>
      <c r="J14" s="293">
        <f t="shared" si="35"/>
        <v>-160.31666666666675</v>
      </c>
      <c r="K14" s="288"/>
      <c r="L14" s="292">
        <f t="shared" ref="L14:M14" ca="1" si="36">I14</f>
        <v>46204</v>
      </c>
      <c r="M14" s="293">
        <f t="shared" si="36"/>
        <v>-160.31666666666675</v>
      </c>
      <c r="N14" s="288"/>
      <c r="O14" s="292">
        <f t="shared" ref="O14:P14" ca="1" si="37">L14</f>
        <v>46204</v>
      </c>
      <c r="P14" s="293">
        <f t="shared" si="37"/>
        <v>-160.31666666666675</v>
      </c>
    </row>
    <row r="15" spans="2:16" ht="15.6">
      <c r="B15" s="288" t="s">
        <v>97</v>
      </c>
      <c r="C15" s="291">
        <v>0.02</v>
      </c>
      <c r="D15" s="291">
        <v>1.4999999999999999E-2</v>
      </c>
      <c r="E15" s="289">
        <v>0</v>
      </c>
      <c r="F15" s="292">
        <f t="shared" ca="1" si="6"/>
        <v>46235</v>
      </c>
      <c r="G15" s="293">
        <f>VLOOKUP(E15+1,'Cashflow Details'!$1:$1005,123)/12</f>
        <v>-160.31666666666675</v>
      </c>
      <c r="H15" s="288"/>
      <c r="I15" s="292">
        <f t="shared" ref="I15:J15" ca="1" si="38">F15</f>
        <v>46235</v>
      </c>
      <c r="J15" s="293">
        <f t="shared" si="38"/>
        <v>-160.31666666666675</v>
      </c>
      <c r="K15" s="288"/>
      <c r="L15" s="292">
        <f t="shared" ref="L15:M15" ca="1" si="39">I15</f>
        <v>46235</v>
      </c>
      <c r="M15" s="293">
        <f t="shared" si="39"/>
        <v>-160.31666666666675</v>
      </c>
      <c r="N15" s="288"/>
      <c r="O15" s="292">
        <f t="shared" ref="O15:P15" ca="1" si="40">L15</f>
        <v>46235</v>
      </c>
      <c r="P15" s="293">
        <f t="shared" si="40"/>
        <v>-160.31666666666675</v>
      </c>
    </row>
    <row r="16" spans="2:16" ht="15.6">
      <c r="B16" s="288" t="s">
        <v>99</v>
      </c>
      <c r="C16" s="291">
        <v>1.4999999999999999E-2</v>
      </c>
      <c r="D16" s="291">
        <v>1.4999999999999999E-2</v>
      </c>
      <c r="E16" s="289">
        <f t="shared" ref="E16:E270" si="41">E4+1</f>
        <v>1</v>
      </c>
      <c r="F16" s="292">
        <f t="shared" ca="1" si="6"/>
        <v>46266</v>
      </c>
      <c r="G16" s="293">
        <f>VLOOKUP(E16+1,'Cashflow Details'!$1:$1005,123)/12</f>
        <v>-156.21800000000016</v>
      </c>
      <c r="H16" s="288"/>
      <c r="I16" s="292">
        <f t="shared" ref="I16:J16" ca="1" si="42">F16</f>
        <v>46266</v>
      </c>
      <c r="J16" s="293">
        <f t="shared" si="42"/>
        <v>-156.21800000000016</v>
      </c>
      <c r="K16" s="288"/>
      <c r="L16" s="292">
        <f t="shared" ref="L16:M16" ca="1" si="43">I16</f>
        <v>46266</v>
      </c>
      <c r="M16" s="293">
        <f t="shared" si="43"/>
        <v>-156.21800000000016</v>
      </c>
      <c r="N16" s="288"/>
      <c r="O16" s="292">
        <f t="shared" ref="O16:P16" ca="1" si="44">L16</f>
        <v>46266</v>
      </c>
      <c r="P16" s="293">
        <f t="shared" si="44"/>
        <v>-156.21800000000016</v>
      </c>
    </row>
    <row r="17" spans="2:16" ht="15.6">
      <c r="B17" s="288" t="s">
        <v>100</v>
      </c>
      <c r="C17" s="291">
        <v>1.2E-2</v>
      </c>
      <c r="D17" s="291">
        <v>0.01</v>
      </c>
      <c r="E17" s="289">
        <f t="shared" si="41"/>
        <v>1</v>
      </c>
      <c r="F17" s="292">
        <f t="shared" ca="1" si="6"/>
        <v>46296</v>
      </c>
      <c r="G17" s="293">
        <f>VLOOKUP(E17+1,'Cashflow Details'!$1:$1005,123)/12</f>
        <v>-156.21800000000016</v>
      </c>
      <c r="H17" s="288"/>
      <c r="I17" s="292">
        <f t="shared" ref="I17:J17" ca="1" si="45">F17</f>
        <v>46296</v>
      </c>
      <c r="J17" s="293">
        <f t="shared" si="45"/>
        <v>-156.21800000000016</v>
      </c>
      <c r="K17" s="288"/>
      <c r="L17" s="292">
        <f t="shared" ref="L17:M17" ca="1" si="46">I17</f>
        <v>46296</v>
      </c>
      <c r="M17" s="293">
        <f t="shared" si="46"/>
        <v>-156.21800000000016</v>
      </c>
      <c r="N17" s="288"/>
      <c r="O17" s="292">
        <f t="shared" ref="O17:P17" ca="1" si="47">L17</f>
        <v>46296</v>
      </c>
      <c r="P17" s="293">
        <f t="shared" si="47"/>
        <v>-156.21800000000016</v>
      </c>
    </row>
    <row r="18" spans="2:16" ht="15.6">
      <c r="B18" s="288" t="s">
        <v>101</v>
      </c>
      <c r="C18" s="291">
        <v>0.01</v>
      </c>
      <c r="D18" s="291">
        <v>0.01</v>
      </c>
      <c r="E18" s="289">
        <f t="shared" si="41"/>
        <v>1</v>
      </c>
      <c r="F18" s="292">
        <f t="shared" ca="1" si="6"/>
        <v>46327</v>
      </c>
      <c r="G18" s="293">
        <f>VLOOKUP(E18+1,'Cashflow Details'!$1:$1005,123)/12</f>
        <v>-156.21800000000016</v>
      </c>
      <c r="H18" s="288"/>
      <c r="I18" s="292">
        <f t="shared" ref="I18:J18" ca="1" si="48">F18</f>
        <v>46327</v>
      </c>
      <c r="J18" s="293">
        <f t="shared" si="48"/>
        <v>-156.21800000000016</v>
      </c>
      <c r="K18" s="288"/>
      <c r="L18" s="292">
        <f t="shared" ref="L18:M18" ca="1" si="49">I18</f>
        <v>46327</v>
      </c>
      <c r="M18" s="293">
        <f t="shared" si="49"/>
        <v>-156.21800000000016</v>
      </c>
      <c r="N18" s="288"/>
      <c r="O18" s="292">
        <f t="shared" ref="O18:P18" ca="1" si="50">L18</f>
        <v>46327</v>
      </c>
      <c r="P18" s="293">
        <f t="shared" si="50"/>
        <v>-156.21800000000016</v>
      </c>
    </row>
    <row r="19" spans="2:16" ht="15.6">
      <c r="B19" s="288"/>
      <c r="C19" s="297"/>
      <c r="D19" s="288"/>
      <c r="E19" s="289">
        <f t="shared" si="41"/>
        <v>1</v>
      </c>
      <c r="F19" s="292">
        <f t="shared" ca="1" si="6"/>
        <v>46357</v>
      </c>
      <c r="G19" s="293">
        <f>VLOOKUP(E19+1,'Cashflow Details'!$1:$1005,123)/12</f>
        <v>-156.21800000000016</v>
      </c>
      <c r="H19" s="288"/>
      <c r="I19" s="292">
        <f t="shared" ref="I19:J19" ca="1" si="51">F19</f>
        <v>46357</v>
      </c>
      <c r="J19" s="293">
        <f t="shared" si="51"/>
        <v>-156.21800000000016</v>
      </c>
      <c r="K19" s="288"/>
      <c r="L19" s="292">
        <f t="shared" ref="L19:M19" ca="1" si="52">I19</f>
        <v>46357</v>
      </c>
      <c r="M19" s="293">
        <f t="shared" si="52"/>
        <v>-156.21800000000016</v>
      </c>
      <c r="N19" s="288"/>
      <c r="O19" s="292">
        <f t="shared" ref="O19:P19" ca="1" si="53">L19</f>
        <v>46357</v>
      </c>
      <c r="P19" s="293">
        <f t="shared" si="53"/>
        <v>-156.21800000000016</v>
      </c>
    </row>
    <row r="20" spans="2:16" ht="15.6">
      <c r="B20" s="288"/>
      <c r="C20" s="288"/>
      <c r="D20" s="288"/>
      <c r="E20" s="289">
        <f t="shared" si="41"/>
        <v>1</v>
      </c>
      <c r="F20" s="292">
        <f t="shared" ca="1" si="6"/>
        <v>46388</v>
      </c>
      <c r="G20" s="293">
        <f>VLOOKUP(E20+1,'Cashflow Details'!$1:$1005,123)/12</f>
        <v>-156.21800000000016</v>
      </c>
      <c r="H20" s="288"/>
      <c r="I20" s="292">
        <f t="shared" ref="I20:J20" ca="1" si="54">F20</f>
        <v>46388</v>
      </c>
      <c r="J20" s="293">
        <f t="shared" si="54"/>
        <v>-156.21800000000016</v>
      </c>
      <c r="K20" s="288"/>
      <c r="L20" s="292">
        <f t="shared" ref="L20:M20" ca="1" si="55">I20</f>
        <v>46388</v>
      </c>
      <c r="M20" s="293">
        <f t="shared" si="55"/>
        <v>-156.21800000000016</v>
      </c>
      <c r="N20" s="288"/>
      <c r="O20" s="292">
        <f t="shared" ref="O20:P20" ca="1" si="56">L20</f>
        <v>46388</v>
      </c>
      <c r="P20" s="293">
        <f t="shared" si="56"/>
        <v>-156.21800000000016</v>
      </c>
    </row>
    <row r="21" spans="2:16" ht="15.75" customHeight="1">
      <c r="B21" s="288"/>
      <c r="C21" s="288"/>
      <c r="D21" s="288"/>
      <c r="E21" s="289">
        <f t="shared" si="41"/>
        <v>1</v>
      </c>
      <c r="F21" s="292">
        <f t="shared" ca="1" si="6"/>
        <v>46419</v>
      </c>
      <c r="G21" s="293">
        <f>VLOOKUP(E21+1,'Cashflow Details'!$1:$1005,123)/12</f>
        <v>-156.21800000000016</v>
      </c>
      <c r="H21" s="288"/>
      <c r="I21" s="292">
        <f t="shared" ref="I21:J21" ca="1" si="57">F21</f>
        <v>46419</v>
      </c>
      <c r="J21" s="293">
        <f t="shared" si="57"/>
        <v>-156.21800000000016</v>
      </c>
      <c r="K21" s="288"/>
      <c r="L21" s="292">
        <f t="shared" ref="L21:M21" ca="1" si="58">I21</f>
        <v>46419</v>
      </c>
      <c r="M21" s="293">
        <f t="shared" si="58"/>
        <v>-156.21800000000016</v>
      </c>
      <c r="N21" s="288"/>
      <c r="O21" s="292">
        <f t="shared" ref="O21:P21" ca="1" si="59">L21</f>
        <v>46419</v>
      </c>
      <c r="P21" s="293">
        <f t="shared" si="59"/>
        <v>-156.21800000000016</v>
      </c>
    </row>
    <row r="22" spans="2:16" ht="15.75" customHeight="1">
      <c r="B22" s="288"/>
      <c r="C22" s="288"/>
      <c r="D22" s="288"/>
      <c r="E22" s="289">
        <f t="shared" si="41"/>
        <v>1</v>
      </c>
      <c r="F22" s="292">
        <f t="shared" ca="1" si="6"/>
        <v>46447</v>
      </c>
      <c r="G22" s="293">
        <f>VLOOKUP(E22+1,'Cashflow Details'!$1:$1005,123)/12</f>
        <v>-156.21800000000016</v>
      </c>
      <c r="H22" s="288"/>
      <c r="I22" s="292">
        <f t="shared" ref="I22:J22" ca="1" si="60">F22</f>
        <v>46447</v>
      </c>
      <c r="J22" s="293">
        <f t="shared" si="60"/>
        <v>-156.21800000000016</v>
      </c>
      <c r="K22" s="288"/>
      <c r="L22" s="292">
        <f t="shared" ref="L22:M22" ca="1" si="61">I22</f>
        <v>46447</v>
      </c>
      <c r="M22" s="293">
        <f t="shared" si="61"/>
        <v>-156.21800000000016</v>
      </c>
      <c r="N22" s="288"/>
      <c r="O22" s="292">
        <f t="shared" ref="O22:P22" ca="1" si="62">L22</f>
        <v>46447</v>
      </c>
      <c r="P22" s="293">
        <f t="shared" si="62"/>
        <v>-156.21800000000016</v>
      </c>
    </row>
    <row r="23" spans="2:16" ht="15.75" customHeight="1">
      <c r="B23" s="288"/>
      <c r="C23" s="288"/>
      <c r="D23" s="288"/>
      <c r="E23" s="289">
        <f t="shared" si="41"/>
        <v>1</v>
      </c>
      <c r="F23" s="292">
        <f t="shared" ca="1" si="6"/>
        <v>46478</v>
      </c>
      <c r="G23" s="293">
        <f>VLOOKUP(E23+1,'Cashflow Details'!$1:$1005,123)/12</f>
        <v>-156.21800000000016</v>
      </c>
      <c r="H23" s="288"/>
      <c r="I23" s="292">
        <f t="shared" ref="I23:J23" ca="1" si="63">F23</f>
        <v>46478</v>
      </c>
      <c r="J23" s="293">
        <f t="shared" si="63"/>
        <v>-156.21800000000016</v>
      </c>
      <c r="K23" s="288"/>
      <c r="L23" s="292">
        <f t="shared" ref="L23:M23" ca="1" si="64">I23</f>
        <v>46478</v>
      </c>
      <c r="M23" s="293">
        <f t="shared" si="64"/>
        <v>-156.21800000000016</v>
      </c>
      <c r="N23" s="288"/>
      <c r="O23" s="292">
        <f t="shared" ref="O23:P23" ca="1" si="65">L23</f>
        <v>46478</v>
      </c>
      <c r="P23" s="293">
        <f t="shared" si="65"/>
        <v>-156.21800000000016</v>
      </c>
    </row>
    <row r="24" spans="2:16" ht="15.75" customHeight="1">
      <c r="B24" s="288"/>
      <c r="C24" s="288"/>
      <c r="D24" s="288"/>
      <c r="E24" s="289">
        <f t="shared" si="41"/>
        <v>1</v>
      </c>
      <c r="F24" s="292">
        <f t="shared" ca="1" si="6"/>
        <v>46508</v>
      </c>
      <c r="G24" s="293">
        <f>VLOOKUP(E24+1,'Cashflow Details'!$1:$1005,123)/12</f>
        <v>-156.21800000000016</v>
      </c>
      <c r="H24" s="288"/>
      <c r="I24" s="292">
        <f t="shared" ref="I24:J24" ca="1" si="66">F24</f>
        <v>46508</v>
      </c>
      <c r="J24" s="293">
        <f t="shared" si="66"/>
        <v>-156.21800000000016</v>
      </c>
      <c r="K24" s="288"/>
      <c r="L24" s="292">
        <f t="shared" ref="L24:M24" ca="1" si="67">I24</f>
        <v>46508</v>
      </c>
      <c r="M24" s="293">
        <f t="shared" si="67"/>
        <v>-156.21800000000016</v>
      </c>
      <c r="N24" s="288"/>
      <c r="O24" s="292">
        <f t="shared" ref="O24:P24" ca="1" si="68">L24</f>
        <v>46508</v>
      </c>
      <c r="P24" s="293">
        <f t="shared" si="68"/>
        <v>-156.21800000000016</v>
      </c>
    </row>
    <row r="25" spans="2:16" ht="15.75" customHeight="1">
      <c r="B25" s="288"/>
      <c r="C25" s="288"/>
      <c r="D25" s="288"/>
      <c r="E25" s="289">
        <f t="shared" si="41"/>
        <v>1</v>
      </c>
      <c r="F25" s="292">
        <f t="shared" ca="1" si="6"/>
        <v>46539</v>
      </c>
      <c r="G25" s="293">
        <f>VLOOKUP(E25+1,'Cashflow Details'!$1:$1005,123)/12</f>
        <v>-156.21800000000016</v>
      </c>
      <c r="H25" s="288"/>
      <c r="I25" s="292">
        <f t="shared" ref="I25:J25" ca="1" si="69">F25</f>
        <v>46539</v>
      </c>
      <c r="J25" s="293">
        <f t="shared" si="69"/>
        <v>-156.21800000000016</v>
      </c>
      <c r="K25" s="288"/>
      <c r="L25" s="292">
        <f t="shared" ref="L25:M25" ca="1" si="70">I25</f>
        <v>46539</v>
      </c>
      <c r="M25" s="293">
        <f t="shared" si="70"/>
        <v>-156.21800000000016</v>
      </c>
      <c r="N25" s="288"/>
      <c r="O25" s="292">
        <f t="shared" ref="O25:P25" ca="1" si="71">L25</f>
        <v>46539</v>
      </c>
      <c r="P25" s="293">
        <f t="shared" si="71"/>
        <v>-156.21800000000016</v>
      </c>
    </row>
    <row r="26" spans="2:16" ht="15.75" customHeight="1">
      <c r="B26" s="288"/>
      <c r="C26" s="288"/>
      <c r="D26" s="288"/>
      <c r="E26" s="289">
        <f t="shared" si="41"/>
        <v>1</v>
      </c>
      <c r="F26" s="292">
        <f t="shared" ca="1" si="6"/>
        <v>46569</v>
      </c>
      <c r="G26" s="293">
        <f>VLOOKUP(E26+1,'Cashflow Details'!$1:$1005,123)/12</f>
        <v>-156.21800000000016</v>
      </c>
      <c r="H26" s="288"/>
      <c r="I26" s="292">
        <f t="shared" ref="I26:J26" ca="1" si="72">F26</f>
        <v>46569</v>
      </c>
      <c r="J26" s="293">
        <f t="shared" si="72"/>
        <v>-156.21800000000016</v>
      </c>
      <c r="K26" s="288"/>
      <c r="L26" s="292">
        <f t="shared" ref="L26:M26" ca="1" si="73">I26</f>
        <v>46569</v>
      </c>
      <c r="M26" s="293">
        <f t="shared" si="73"/>
        <v>-156.21800000000016</v>
      </c>
      <c r="N26" s="288"/>
      <c r="O26" s="292">
        <f t="shared" ref="O26:P26" ca="1" si="74">L26</f>
        <v>46569</v>
      </c>
      <c r="P26" s="293">
        <f t="shared" si="74"/>
        <v>-156.21800000000016</v>
      </c>
    </row>
    <row r="27" spans="2:16" ht="15.75" customHeight="1">
      <c r="B27" s="288"/>
      <c r="C27" s="288"/>
      <c r="D27" s="288"/>
      <c r="E27" s="289">
        <f t="shared" si="41"/>
        <v>1</v>
      </c>
      <c r="F27" s="292">
        <f t="shared" ca="1" si="6"/>
        <v>46600</v>
      </c>
      <c r="G27" s="293">
        <f>VLOOKUP(E27+1,'Cashflow Details'!$1:$1005,123)/12</f>
        <v>-156.21800000000016</v>
      </c>
      <c r="H27" s="288"/>
      <c r="I27" s="292">
        <f t="shared" ref="I27:J27" ca="1" si="75">F27</f>
        <v>46600</v>
      </c>
      <c r="J27" s="293">
        <f t="shared" si="75"/>
        <v>-156.21800000000016</v>
      </c>
      <c r="K27" s="288"/>
      <c r="L27" s="292">
        <f t="shared" ref="L27:M27" ca="1" si="76">I27</f>
        <v>46600</v>
      </c>
      <c r="M27" s="293">
        <f t="shared" si="76"/>
        <v>-156.21800000000016</v>
      </c>
      <c r="N27" s="288"/>
      <c r="O27" s="292">
        <f t="shared" ref="O27:P27" ca="1" si="77">L27</f>
        <v>46600</v>
      </c>
      <c r="P27" s="293">
        <f t="shared" si="77"/>
        <v>-156.21800000000016</v>
      </c>
    </row>
    <row r="28" spans="2:16" ht="15.75" customHeight="1">
      <c r="B28" s="288"/>
      <c r="C28" s="288"/>
      <c r="D28" s="288"/>
      <c r="E28" s="289">
        <f t="shared" si="41"/>
        <v>2</v>
      </c>
      <c r="F28" s="292">
        <f t="shared" ca="1" si="6"/>
        <v>46631</v>
      </c>
      <c r="G28" s="293">
        <f>VLOOKUP(E28+1,'Cashflow Details'!$1:$1005,123)/12</f>
        <v>-152.21736000000024</v>
      </c>
      <c r="H28" s="288"/>
      <c r="I28" s="292">
        <f t="shared" ref="I28:J28" ca="1" si="78">F28</f>
        <v>46631</v>
      </c>
      <c r="J28" s="293">
        <f t="shared" si="78"/>
        <v>-152.21736000000024</v>
      </c>
      <c r="K28" s="288"/>
      <c r="L28" s="292">
        <f t="shared" ref="L28:M28" ca="1" si="79">I28</f>
        <v>46631</v>
      </c>
      <c r="M28" s="293">
        <f t="shared" si="79"/>
        <v>-152.21736000000024</v>
      </c>
      <c r="N28" s="288"/>
      <c r="O28" s="292">
        <f t="shared" ref="O28:P28" ca="1" si="80">L28</f>
        <v>46631</v>
      </c>
      <c r="P28" s="293">
        <f t="shared" si="80"/>
        <v>-152.21736000000024</v>
      </c>
    </row>
    <row r="29" spans="2:16" ht="15.75" customHeight="1">
      <c r="B29" s="288"/>
      <c r="C29" s="288"/>
      <c r="D29" s="288"/>
      <c r="E29" s="289">
        <f t="shared" si="41"/>
        <v>2</v>
      </c>
      <c r="F29" s="292">
        <f t="shared" ca="1" si="6"/>
        <v>46661</v>
      </c>
      <c r="G29" s="293">
        <f>VLOOKUP(E29+1,'Cashflow Details'!$1:$1005,123)/12</f>
        <v>-152.21736000000024</v>
      </c>
      <c r="H29" s="288"/>
      <c r="I29" s="292">
        <f t="shared" ref="I29:J29" ca="1" si="81">F29</f>
        <v>46661</v>
      </c>
      <c r="J29" s="293">
        <f t="shared" si="81"/>
        <v>-152.21736000000024</v>
      </c>
      <c r="K29" s="288"/>
      <c r="L29" s="292">
        <f t="shared" ref="L29:M29" ca="1" si="82">I29</f>
        <v>46661</v>
      </c>
      <c r="M29" s="293">
        <f t="shared" si="82"/>
        <v>-152.21736000000024</v>
      </c>
      <c r="N29" s="288"/>
      <c r="O29" s="292">
        <f t="shared" ref="O29:P29" ca="1" si="83">L29</f>
        <v>46661</v>
      </c>
      <c r="P29" s="293">
        <f t="shared" si="83"/>
        <v>-152.21736000000024</v>
      </c>
    </row>
    <row r="30" spans="2:16" ht="15.75" customHeight="1">
      <c r="B30" s="288"/>
      <c r="C30" s="288"/>
      <c r="D30" s="288"/>
      <c r="E30" s="289">
        <f t="shared" si="41"/>
        <v>2</v>
      </c>
      <c r="F30" s="292">
        <f t="shared" ca="1" si="6"/>
        <v>46692</v>
      </c>
      <c r="G30" s="293">
        <f>VLOOKUP(E30+1,'Cashflow Details'!$1:$1005,123)/12</f>
        <v>-152.21736000000024</v>
      </c>
      <c r="H30" s="288"/>
      <c r="I30" s="292">
        <f t="shared" ref="I30:J30" ca="1" si="84">F30</f>
        <v>46692</v>
      </c>
      <c r="J30" s="293">
        <f t="shared" si="84"/>
        <v>-152.21736000000024</v>
      </c>
      <c r="K30" s="288"/>
      <c r="L30" s="292">
        <f t="shared" ref="L30:M30" ca="1" si="85">I30</f>
        <v>46692</v>
      </c>
      <c r="M30" s="293">
        <f t="shared" si="85"/>
        <v>-152.21736000000024</v>
      </c>
      <c r="N30" s="288"/>
      <c r="O30" s="292">
        <f t="shared" ref="O30:P30" ca="1" si="86">L30</f>
        <v>46692</v>
      </c>
      <c r="P30" s="293">
        <f t="shared" si="86"/>
        <v>-152.21736000000024</v>
      </c>
    </row>
    <row r="31" spans="2:16" ht="15.75" customHeight="1">
      <c r="B31" s="288"/>
      <c r="C31" s="288"/>
      <c r="D31" s="288"/>
      <c r="E31" s="289">
        <f t="shared" si="41"/>
        <v>2</v>
      </c>
      <c r="F31" s="292">
        <f t="shared" ca="1" si="6"/>
        <v>46722</v>
      </c>
      <c r="G31" s="293">
        <f>VLOOKUP(E31+1,'Cashflow Details'!$1:$1005,123)/12</f>
        <v>-152.21736000000024</v>
      </c>
      <c r="H31" s="288"/>
      <c r="I31" s="292">
        <f t="shared" ref="I31:J31" ca="1" si="87">F31</f>
        <v>46722</v>
      </c>
      <c r="J31" s="293">
        <f t="shared" si="87"/>
        <v>-152.21736000000024</v>
      </c>
      <c r="K31" s="288"/>
      <c r="L31" s="292">
        <f t="shared" ref="L31:M31" ca="1" si="88">I31</f>
        <v>46722</v>
      </c>
      <c r="M31" s="293">
        <f t="shared" si="88"/>
        <v>-152.21736000000024</v>
      </c>
      <c r="N31" s="288"/>
      <c r="O31" s="292">
        <f t="shared" ref="O31:P31" ca="1" si="89">L31</f>
        <v>46722</v>
      </c>
      <c r="P31" s="293">
        <f t="shared" si="89"/>
        <v>-152.21736000000024</v>
      </c>
    </row>
    <row r="32" spans="2:16" ht="15.75" customHeight="1">
      <c r="B32" s="288"/>
      <c r="C32" s="288"/>
      <c r="D32" s="288"/>
      <c r="E32" s="289">
        <f t="shared" si="41"/>
        <v>2</v>
      </c>
      <c r="F32" s="292">
        <f t="shared" ca="1" si="6"/>
        <v>46753</v>
      </c>
      <c r="G32" s="293">
        <f>VLOOKUP(E32+1,'Cashflow Details'!$1:$1005,123)/12</f>
        <v>-152.21736000000024</v>
      </c>
      <c r="H32" s="288"/>
      <c r="I32" s="292">
        <f t="shared" ref="I32:J32" ca="1" si="90">F32</f>
        <v>46753</v>
      </c>
      <c r="J32" s="293">
        <f t="shared" si="90"/>
        <v>-152.21736000000024</v>
      </c>
      <c r="K32" s="288"/>
      <c r="L32" s="292">
        <f t="shared" ref="L32:M32" ca="1" si="91">I32</f>
        <v>46753</v>
      </c>
      <c r="M32" s="293">
        <f t="shared" si="91"/>
        <v>-152.21736000000024</v>
      </c>
      <c r="N32" s="288"/>
      <c r="O32" s="292">
        <f t="shared" ref="O32:P32" ca="1" si="92">L32</f>
        <v>46753</v>
      </c>
      <c r="P32" s="293">
        <f t="shared" si="92"/>
        <v>-152.21736000000024</v>
      </c>
    </row>
    <row r="33" spans="2:16" ht="15.75" customHeight="1">
      <c r="B33" s="288"/>
      <c r="C33" s="288"/>
      <c r="D33" s="288"/>
      <c r="E33" s="289">
        <f t="shared" si="41"/>
        <v>2</v>
      </c>
      <c r="F33" s="292">
        <f t="shared" ca="1" si="6"/>
        <v>46784</v>
      </c>
      <c r="G33" s="293">
        <f>VLOOKUP(E33+1,'Cashflow Details'!$1:$1005,123)/12</f>
        <v>-152.21736000000024</v>
      </c>
      <c r="H33" s="288"/>
      <c r="I33" s="292">
        <f t="shared" ref="I33:J33" ca="1" si="93">F33</f>
        <v>46784</v>
      </c>
      <c r="J33" s="293">
        <f t="shared" si="93"/>
        <v>-152.21736000000024</v>
      </c>
      <c r="K33" s="288"/>
      <c r="L33" s="292">
        <f t="shared" ref="L33:M33" ca="1" si="94">I33</f>
        <v>46784</v>
      </c>
      <c r="M33" s="293">
        <f t="shared" si="94"/>
        <v>-152.21736000000024</v>
      </c>
      <c r="N33" s="288"/>
      <c r="O33" s="292">
        <f t="shared" ref="O33:P33" ca="1" si="95">L33</f>
        <v>46784</v>
      </c>
      <c r="P33" s="293">
        <f t="shared" si="95"/>
        <v>-152.21736000000024</v>
      </c>
    </row>
    <row r="34" spans="2:16" ht="15.75" customHeight="1">
      <c r="B34" s="288"/>
      <c r="C34" s="288"/>
      <c r="D34" s="288"/>
      <c r="E34" s="289">
        <f t="shared" si="41"/>
        <v>2</v>
      </c>
      <c r="F34" s="292">
        <f t="shared" ca="1" si="6"/>
        <v>46813</v>
      </c>
      <c r="G34" s="293">
        <f>VLOOKUP(E34+1,'Cashflow Details'!$1:$1005,123)/12</f>
        <v>-152.21736000000024</v>
      </c>
      <c r="H34" s="288"/>
      <c r="I34" s="292">
        <f t="shared" ref="I34:J34" ca="1" si="96">F34</f>
        <v>46813</v>
      </c>
      <c r="J34" s="293">
        <f t="shared" si="96"/>
        <v>-152.21736000000024</v>
      </c>
      <c r="K34" s="288"/>
      <c r="L34" s="292">
        <f t="shared" ref="L34:M34" ca="1" si="97">I34</f>
        <v>46813</v>
      </c>
      <c r="M34" s="293">
        <f t="shared" si="97"/>
        <v>-152.21736000000024</v>
      </c>
      <c r="N34" s="288"/>
      <c r="O34" s="292">
        <f t="shared" ref="O34:P34" ca="1" si="98">L34</f>
        <v>46813</v>
      </c>
      <c r="P34" s="293">
        <f t="shared" si="98"/>
        <v>-152.21736000000024</v>
      </c>
    </row>
    <row r="35" spans="2:16" ht="15.75" customHeight="1">
      <c r="B35" s="288"/>
      <c r="C35" s="288"/>
      <c r="D35" s="288"/>
      <c r="E35" s="289">
        <f t="shared" si="41"/>
        <v>2</v>
      </c>
      <c r="F35" s="292">
        <f t="shared" ca="1" si="6"/>
        <v>46844</v>
      </c>
      <c r="G35" s="293">
        <f>VLOOKUP(E35+1,'Cashflow Details'!$1:$1005,123)/12</f>
        <v>-152.21736000000024</v>
      </c>
      <c r="H35" s="288"/>
      <c r="I35" s="292">
        <f t="shared" ref="I35:J35" ca="1" si="99">F35</f>
        <v>46844</v>
      </c>
      <c r="J35" s="293">
        <f t="shared" si="99"/>
        <v>-152.21736000000024</v>
      </c>
      <c r="K35" s="288"/>
      <c r="L35" s="292">
        <f t="shared" ref="L35:M35" ca="1" si="100">I35</f>
        <v>46844</v>
      </c>
      <c r="M35" s="293">
        <f t="shared" si="100"/>
        <v>-152.21736000000024</v>
      </c>
      <c r="N35" s="288"/>
      <c r="O35" s="292">
        <f t="shared" ref="O35:P35" ca="1" si="101">L35</f>
        <v>46844</v>
      </c>
      <c r="P35" s="293">
        <f t="shared" si="101"/>
        <v>-152.21736000000024</v>
      </c>
    </row>
    <row r="36" spans="2:16" ht="15.75" customHeight="1">
      <c r="B36" s="288"/>
      <c r="C36" s="288"/>
      <c r="D36" s="288"/>
      <c r="E36" s="289">
        <f t="shared" si="41"/>
        <v>2</v>
      </c>
      <c r="F36" s="292">
        <f t="shared" ca="1" si="6"/>
        <v>46874</v>
      </c>
      <c r="G36" s="293">
        <f>VLOOKUP(E36+1,'Cashflow Details'!$1:$1005,123)/12</f>
        <v>-152.21736000000024</v>
      </c>
      <c r="H36" s="288"/>
      <c r="I36" s="292">
        <f t="shared" ref="I36:J36" ca="1" si="102">F36</f>
        <v>46874</v>
      </c>
      <c r="J36" s="293">
        <f t="shared" si="102"/>
        <v>-152.21736000000024</v>
      </c>
      <c r="K36" s="288"/>
      <c r="L36" s="292">
        <f t="shared" ref="L36:M36" ca="1" si="103">I36</f>
        <v>46874</v>
      </c>
      <c r="M36" s="293">
        <f t="shared" si="103"/>
        <v>-152.21736000000024</v>
      </c>
      <c r="N36" s="288"/>
      <c r="O36" s="292">
        <f t="shared" ref="O36:P36" ca="1" si="104">L36</f>
        <v>46874</v>
      </c>
      <c r="P36" s="293">
        <f t="shared" si="104"/>
        <v>-152.21736000000024</v>
      </c>
    </row>
    <row r="37" spans="2:16" ht="15.75" customHeight="1">
      <c r="B37" s="288"/>
      <c r="C37" s="288"/>
      <c r="D37" s="288"/>
      <c r="E37" s="289">
        <f t="shared" si="41"/>
        <v>2</v>
      </c>
      <c r="F37" s="292">
        <f t="shared" ca="1" si="6"/>
        <v>46905</v>
      </c>
      <c r="G37" s="293">
        <f>VLOOKUP(E37+1,'Cashflow Details'!$1:$1005,123)/12</f>
        <v>-152.21736000000024</v>
      </c>
      <c r="H37" s="288"/>
      <c r="I37" s="292">
        <f t="shared" ref="I37:J37" ca="1" si="105">F37</f>
        <v>46905</v>
      </c>
      <c r="J37" s="293">
        <f t="shared" si="105"/>
        <v>-152.21736000000024</v>
      </c>
      <c r="K37" s="288"/>
      <c r="L37" s="292">
        <f t="shared" ref="L37:M37" ca="1" si="106">I37</f>
        <v>46905</v>
      </c>
      <c r="M37" s="293">
        <f t="shared" si="106"/>
        <v>-152.21736000000024</v>
      </c>
      <c r="N37" s="288"/>
      <c r="O37" s="292">
        <f t="shared" ref="O37:P37" ca="1" si="107">L37</f>
        <v>46905</v>
      </c>
      <c r="P37" s="293">
        <f t="shared" si="107"/>
        <v>-152.21736000000024</v>
      </c>
    </row>
    <row r="38" spans="2:16" ht="15.75" customHeight="1">
      <c r="B38" s="288"/>
      <c r="C38" s="288"/>
      <c r="D38" s="288"/>
      <c r="E38" s="289">
        <f t="shared" si="41"/>
        <v>2</v>
      </c>
      <c r="F38" s="292">
        <f t="shared" ca="1" si="6"/>
        <v>46935</v>
      </c>
      <c r="G38" s="293">
        <f>VLOOKUP(E38+1,'Cashflow Details'!$1:$1005,123)/12</f>
        <v>-152.21736000000024</v>
      </c>
      <c r="H38" s="288"/>
      <c r="I38" s="292">
        <f t="shared" ref="I38:J38" ca="1" si="108">F38</f>
        <v>46935</v>
      </c>
      <c r="J38" s="293">
        <f t="shared" si="108"/>
        <v>-152.21736000000024</v>
      </c>
      <c r="K38" s="288"/>
      <c r="L38" s="292">
        <f t="shared" ref="L38:M38" ca="1" si="109">I38</f>
        <v>46935</v>
      </c>
      <c r="M38" s="293">
        <f t="shared" si="109"/>
        <v>-152.21736000000024</v>
      </c>
      <c r="N38" s="288"/>
      <c r="O38" s="292">
        <f t="shared" ref="O38:P38" ca="1" si="110">L38</f>
        <v>46935</v>
      </c>
      <c r="P38" s="293">
        <f t="shared" si="110"/>
        <v>-152.21736000000024</v>
      </c>
    </row>
    <row r="39" spans="2:16" ht="15.75" customHeight="1">
      <c r="B39" s="288"/>
      <c r="C39" s="288"/>
      <c r="D39" s="288"/>
      <c r="E39" s="289">
        <f t="shared" si="41"/>
        <v>2</v>
      </c>
      <c r="F39" s="292">
        <f t="shared" ca="1" si="6"/>
        <v>46966</v>
      </c>
      <c r="G39" s="293">
        <f>VLOOKUP(E39+1,'Cashflow Details'!$1:$1005,123)/12</f>
        <v>-152.21736000000024</v>
      </c>
      <c r="H39" s="288"/>
      <c r="I39" s="292">
        <f t="shared" ref="I39:J39" ca="1" si="111">F39</f>
        <v>46966</v>
      </c>
      <c r="J39" s="293">
        <f t="shared" si="111"/>
        <v>-152.21736000000024</v>
      </c>
      <c r="K39" s="288"/>
      <c r="L39" s="292">
        <f t="shared" ref="L39:M39" ca="1" si="112">I39</f>
        <v>46966</v>
      </c>
      <c r="M39" s="293">
        <f t="shared" si="112"/>
        <v>-152.21736000000024</v>
      </c>
      <c r="N39" s="288"/>
      <c r="O39" s="292">
        <f t="shared" ref="O39:P39" ca="1" si="113">L39</f>
        <v>46966</v>
      </c>
      <c r="P39" s="293">
        <f t="shared" si="113"/>
        <v>-152.21736000000024</v>
      </c>
    </row>
    <row r="40" spans="2:16" ht="15.75" customHeight="1">
      <c r="B40" s="288"/>
      <c r="C40" s="288"/>
      <c r="D40" s="288"/>
      <c r="E40" s="289">
        <f t="shared" si="41"/>
        <v>3</v>
      </c>
      <c r="F40" s="292">
        <f t="shared" ca="1" si="6"/>
        <v>46997</v>
      </c>
      <c r="G40" s="293">
        <f>VLOOKUP(E40+1,'Cashflow Details'!$1:$1005,123)/12</f>
        <v>-148.14170720000024</v>
      </c>
      <c r="H40" s="288"/>
      <c r="I40" s="292">
        <f t="shared" ref="I40:J40" ca="1" si="114">F40</f>
        <v>46997</v>
      </c>
      <c r="J40" s="293">
        <f t="shared" si="114"/>
        <v>-148.14170720000024</v>
      </c>
      <c r="K40" s="288"/>
      <c r="L40" s="292">
        <f t="shared" ref="L40:M40" ca="1" si="115">I40</f>
        <v>46997</v>
      </c>
      <c r="M40" s="293">
        <f t="shared" si="115"/>
        <v>-148.14170720000024</v>
      </c>
      <c r="N40" s="288"/>
      <c r="O40" s="292">
        <f t="shared" ref="O40:P40" ca="1" si="116">L40</f>
        <v>46997</v>
      </c>
      <c r="P40" s="293">
        <f t="shared" si="116"/>
        <v>-148.14170720000024</v>
      </c>
    </row>
    <row r="41" spans="2:16" ht="15.75" customHeight="1">
      <c r="B41" s="288"/>
      <c r="C41" s="288"/>
      <c r="D41" s="288"/>
      <c r="E41" s="289">
        <f t="shared" si="41"/>
        <v>3</v>
      </c>
      <c r="F41" s="292">
        <f t="shared" ca="1" si="6"/>
        <v>47027</v>
      </c>
      <c r="G41" s="293">
        <f>VLOOKUP(E41+1,'Cashflow Details'!$1:$1005,123)/12</f>
        <v>-148.14170720000024</v>
      </c>
      <c r="H41" s="288"/>
      <c r="I41" s="292">
        <f t="shared" ref="I41:J41" ca="1" si="117">F41</f>
        <v>47027</v>
      </c>
      <c r="J41" s="293">
        <f t="shared" si="117"/>
        <v>-148.14170720000024</v>
      </c>
      <c r="K41" s="288"/>
      <c r="L41" s="292">
        <f t="shared" ref="L41:M41" ca="1" si="118">I41</f>
        <v>47027</v>
      </c>
      <c r="M41" s="293">
        <f t="shared" si="118"/>
        <v>-148.14170720000024</v>
      </c>
      <c r="N41" s="288"/>
      <c r="O41" s="292">
        <f t="shared" ref="O41:P41" ca="1" si="119">L41</f>
        <v>47027</v>
      </c>
      <c r="P41" s="293">
        <f t="shared" si="119"/>
        <v>-148.14170720000024</v>
      </c>
    </row>
    <row r="42" spans="2:16" ht="15.75" customHeight="1">
      <c r="B42" s="288"/>
      <c r="C42" s="288"/>
      <c r="D42" s="288"/>
      <c r="E42" s="289">
        <f t="shared" si="41"/>
        <v>3</v>
      </c>
      <c r="F42" s="292">
        <f t="shared" ca="1" si="6"/>
        <v>47058</v>
      </c>
      <c r="G42" s="293">
        <f>VLOOKUP(E42+1,'Cashflow Details'!$1:$1005,123)/12</f>
        <v>-148.14170720000024</v>
      </c>
      <c r="H42" s="288"/>
      <c r="I42" s="292">
        <f t="shared" ref="I42:J42" ca="1" si="120">F42</f>
        <v>47058</v>
      </c>
      <c r="J42" s="293">
        <f t="shared" si="120"/>
        <v>-148.14170720000024</v>
      </c>
      <c r="K42" s="288"/>
      <c r="L42" s="292">
        <f t="shared" ref="L42:M42" ca="1" si="121">I42</f>
        <v>47058</v>
      </c>
      <c r="M42" s="293">
        <f t="shared" si="121"/>
        <v>-148.14170720000024</v>
      </c>
      <c r="N42" s="288"/>
      <c r="O42" s="292">
        <f t="shared" ref="O42:P42" ca="1" si="122">L42</f>
        <v>47058</v>
      </c>
      <c r="P42" s="293">
        <f t="shared" si="122"/>
        <v>-148.14170720000024</v>
      </c>
    </row>
    <row r="43" spans="2:16" ht="15.75" customHeight="1">
      <c r="B43" s="288"/>
      <c r="C43" s="288"/>
      <c r="D43" s="288"/>
      <c r="E43" s="289">
        <f t="shared" si="41"/>
        <v>3</v>
      </c>
      <c r="F43" s="292">
        <f t="shared" ca="1" si="6"/>
        <v>47088</v>
      </c>
      <c r="G43" s="293">
        <f>VLOOKUP(E43+1,'Cashflow Details'!$1:$1005,123)/12</f>
        <v>-148.14170720000024</v>
      </c>
      <c r="H43" s="288"/>
      <c r="I43" s="292">
        <f t="shared" ref="I43:J43" ca="1" si="123">F43</f>
        <v>47088</v>
      </c>
      <c r="J43" s="293">
        <f t="shared" si="123"/>
        <v>-148.14170720000024</v>
      </c>
      <c r="K43" s="288"/>
      <c r="L43" s="292">
        <f t="shared" ref="L43:M43" ca="1" si="124">I43</f>
        <v>47088</v>
      </c>
      <c r="M43" s="293">
        <f t="shared" si="124"/>
        <v>-148.14170720000024</v>
      </c>
      <c r="N43" s="288"/>
      <c r="O43" s="292">
        <f t="shared" ref="O43:P43" ca="1" si="125">L43</f>
        <v>47088</v>
      </c>
      <c r="P43" s="293">
        <f t="shared" si="125"/>
        <v>-148.14170720000024</v>
      </c>
    </row>
    <row r="44" spans="2:16" ht="15.75" customHeight="1">
      <c r="B44" s="288"/>
      <c r="C44" s="288"/>
      <c r="D44" s="288"/>
      <c r="E44" s="289">
        <f t="shared" si="41"/>
        <v>3</v>
      </c>
      <c r="F44" s="292">
        <f t="shared" ca="1" si="6"/>
        <v>47119</v>
      </c>
      <c r="G44" s="293">
        <f>VLOOKUP(E44+1,'Cashflow Details'!$1:$1005,123)/12</f>
        <v>-148.14170720000024</v>
      </c>
      <c r="H44" s="288"/>
      <c r="I44" s="292">
        <f t="shared" ref="I44:J44" ca="1" si="126">F44</f>
        <v>47119</v>
      </c>
      <c r="J44" s="293">
        <f t="shared" si="126"/>
        <v>-148.14170720000024</v>
      </c>
      <c r="K44" s="288"/>
      <c r="L44" s="292">
        <f t="shared" ref="L44:M44" ca="1" si="127">I44</f>
        <v>47119</v>
      </c>
      <c r="M44" s="293">
        <f t="shared" si="127"/>
        <v>-148.14170720000024</v>
      </c>
      <c r="N44" s="288"/>
      <c r="O44" s="292">
        <f t="shared" ref="O44:P44" ca="1" si="128">L44</f>
        <v>47119</v>
      </c>
      <c r="P44" s="293">
        <f t="shared" si="128"/>
        <v>-148.14170720000024</v>
      </c>
    </row>
    <row r="45" spans="2:16" ht="15.75" customHeight="1">
      <c r="B45" s="288"/>
      <c r="C45" s="288"/>
      <c r="D45" s="288"/>
      <c r="E45" s="289">
        <f t="shared" si="41"/>
        <v>3</v>
      </c>
      <c r="F45" s="292">
        <f t="shared" ca="1" si="6"/>
        <v>47150</v>
      </c>
      <c r="G45" s="293">
        <f>VLOOKUP(E45+1,'Cashflow Details'!$1:$1005,123)/12</f>
        <v>-148.14170720000024</v>
      </c>
      <c r="H45" s="288"/>
      <c r="I45" s="292">
        <f t="shared" ref="I45:J45" ca="1" si="129">F45</f>
        <v>47150</v>
      </c>
      <c r="J45" s="293">
        <f t="shared" si="129"/>
        <v>-148.14170720000024</v>
      </c>
      <c r="K45" s="288"/>
      <c r="L45" s="292">
        <f t="shared" ref="L45:M45" ca="1" si="130">I45</f>
        <v>47150</v>
      </c>
      <c r="M45" s="293">
        <f t="shared" si="130"/>
        <v>-148.14170720000024</v>
      </c>
      <c r="N45" s="288"/>
      <c r="O45" s="292">
        <f t="shared" ref="O45:P45" ca="1" si="131">L45</f>
        <v>47150</v>
      </c>
      <c r="P45" s="293">
        <f t="shared" si="131"/>
        <v>-148.14170720000024</v>
      </c>
    </row>
    <row r="46" spans="2:16" ht="15.75" customHeight="1">
      <c r="B46" s="288"/>
      <c r="C46" s="288"/>
      <c r="D46" s="288"/>
      <c r="E46" s="289">
        <f t="shared" si="41"/>
        <v>3</v>
      </c>
      <c r="F46" s="292">
        <f t="shared" ca="1" si="6"/>
        <v>47178</v>
      </c>
      <c r="G46" s="293">
        <f>VLOOKUP(E46+1,'Cashflow Details'!$1:$1005,123)/12</f>
        <v>-148.14170720000024</v>
      </c>
      <c r="H46" s="288"/>
      <c r="I46" s="292">
        <f t="shared" ref="I46:J46" ca="1" si="132">F46</f>
        <v>47178</v>
      </c>
      <c r="J46" s="293">
        <f t="shared" si="132"/>
        <v>-148.14170720000024</v>
      </c>
      <c r="K46" s="288"/>
      <c r="L46" s="292">
        <f t="shared" ref="L46:M46" ca="1" si="133">I46</f>
        <v>47178</v>
      </c>
      <c r="M46" s="293">
        <f t="shared" si="133"/>
        <v>-148.14170720000024</v>
      </c>
      <c r="N46" s="288"/>
      <c r="O46" s="292">
        <f t="shared" ref="O46:P46" ca="1" si="134">L46</f>
        <v>47178</v>
      </c>
      <c r="P46" s="293">
        <f t="shared" si="134"/>
        <v>-148.14170720000024</v>
      </c>
    </row>
    <row r="47" spans="2:16" ht="15.75" customHeight="1">
      <c r="B47" s="288"/>
      <c r="C47" s="288"/>
      <c r="D47" s="288"/>
      <c r="E47" s="289">
        <f t="shared" si="41"/>
        <v>3</v>
      </c>
      <c r="F47" s="292">
        <f t="shared" ca="1" si="6"/>
        <v>47209</v>
      </c>
      <c r="G47" s="293">
        <f>VLOOKUP(E47+1,'Cashflow Details'!$1:$1005,123)/12</f>
        <v>-148.14170720000024</v>
      </c>
      <c r="H47" s="288"/>
      <c r="I47" s="292">
        <f t="shared" ref="I47:J47" ca="1" si="135">F47</f>
        <v>47209</v>
      </c>
      <c r="J47" s="293">
        <f t="shared" si="135"/>
        <v>-148.14170720000024</v>
      </c>
      <c r="K47" s="288"/>
      <c r="L47" s="292">
        <f t="shared" ref="L47:M47" ca="1" si="136">I47</f>
        <v>47209</v>
      </c>
      <c r="M47" s="293">
        <f t="shared" si="136"/>
        <v>-148.14170720000024</v>
      </c>
      <c r="N47" s="288"/>
      <c r="O47" s="292">
        <f t="shared" ref="O47:P47" ca="1" si="137">L47</f>
        <v>47209</v>
      </c>
      <c r="P47" s="293">
        <f t="shared" si="137"/>
        <v>-148.14170720000024</v>
      </c>
    </row>
    <row r="48" spans="2:16" ht="15.75" customHeight="1">
      <c r="B48" s="288"/>
      <c r="C48" s="288"/>
      <c r="D48" s="288"/>
      <c r="E48" s="289">
        <f t="shared" si="41"/>
        <v>3</v>
      </c>
      <c r="F48" s="292">
        <f t="shared" ca="1" si="6"/>
        <v>47239</v>
      </c>
      <c r="G48" s="293">
        <f>VLOOKUP(E48+1,'Cashflow Details'!$1:$1005,123)/12</f>
        <v>-148.14170720000024</v>
      </c>
      <c r="H48" s="288"/>
      <c r="I48" s="292">
        <f t="shared" ref="I48:J48" ca="1" si="138">F48</f>
        <v>47239</v>
      </c>
      <c r="J48" s="293">
        <f t="shared" si="138"/>
        <v>-148.14170720000024</v>
      </c>
      <c r="K48" s="288"/>
      <c r="L48" s="292">
        <f t="shared" ref="L48:M48" ca="1" si="139">I48</f>
        <v>47239</v>
      </c>
      <c r="M48" s="293">
        <f t="shared" si="139"/>
        <v>-148.14170720000024</v>
      </c>
      <c r="N48" s="288"/>
      <c r="O48" s="292">
        <f t="shared" ref="O48:P48" ca="1" si="140">L48</f>
        <v>47239</v>
      </c>
      <c r="P48" s="293">
        <f t="shared" si="140"/>
        <v>-148.14170720000024</v>
      </c>
    </row>
    <row r="49" spans="2:16" ht="15.75" customHeight="1">
      <c r="B49" s="288"/>
      <c r="C49" s="288"/>
      <c r="D49" s="288"/>
      <c r="E49" s="289">
        <f t="shared" si="41"/>
        <v>3</v>
      </c>
      <c r="F49" s="292">
        <f t="shared" ca="1" si="6"/>
        <v>47270</v>
      </c>
      <c r="G49" s="293">
        <f>VLOOKUP(E49+1,'Cashflow Details'!$1:$1005,123)/12</f>
        <v>-148.14170720000024</v>
      </c>
      <c r="H49" s="288"/>
      <c r="I49" s="292">
        <f t="shared" ref="I49:J49" ca="1" si="141">F49</f>
        <v>47270</v>
      </c>
      <c r="J49" s="293">
        <f t="shared" si="141"/>
        <v>-148.14170720000024</v>
      </c>
      <c r="K49" s="288"/>
      <c r="L49" s="292">
        <f t="shared" ref="L49:M49" ca="1" si="142">I49</f>
        <v>47270</v>
      </c>
      <c r="M49" s="293">
        <f t="shared" si="142"/>
        <v>-148.14170720000024</v>
      </c>
      <c r="N49" s="288"/>
      <c r="O49" s="292">
        <f t="shared" ref="O49:P49" ca="1" si="143">L49</f>
        <v>47270</v>
      </c>
      <c r="P49" s="293">
        <f t="shared" si="143"/>
        <v>-148.14170720000024</v>
      </c>
    </row>
    <row r="50" spans="2:16" ht="15.75" customHeight="1">
      <c r="B50" s="288"/>
      <c r="C50" s="288"/>
      <c r="D50" s="288"/>
      <c r="E50" s="289">
        <f t="shared" si="41"/>
        <v>3</v>
      </c>
      <c r="F50" s="292">
        <f t="shared" ca="1" si="6"/>
        <v>47300</v>
      </c>
      <c r="G50" s="293">
        <f>VLOOKUP(E50+1,'Cashflow Details'!$1:$1005,123)/12</f>
        <v>-148.14170720000024</v>
      </c>
      <c r="H50" s="288"/>
      <c r="I50" s="292">
        <f t="shared" ref="I50:J50" ca="1" si="144">F50</f>
        <v>47300</v>
      </c>
      <c r="J50" s="293">
        <f t="shared" si="144"/>
        <v>-148.14170720000024</v>
      </c>
      <c r="K50" s="288"/>
      <c r="L50" s="292">
        <f t="shared" ref="L50:M50" ca="1" si="145">I50</f>
        <v>47300</v>
      </c>
      <c r="M50" s="293">
        <f t="shared" si="145"/>
        <v>-148.14170720000024</v>
      </c>
      <c r="N50" s="288"/>
      <c r="O50" s="292">
        <f t="shared" ref="O50:P50" ca="1" si="146">L50</f>
        <v>47300</v>
      </c>
      <c r="P50" s="293">
        <f t="shared" si="146"/>
        <v>-148.14170720000024</v>
      </c>
    </row>
    <row r="51" spans="2:16" ht="15.75" customHeight="1">
      <c r="B51" s="288"/>
      <c r="C51" s="288"/>
      <c r="D51" s="288"/>
      <c r="E51" s="289">
        <f t="shared" si="41"/>
        <v>3</v>
      </c>
      <c r="F51" s="292">
        <f t="shared" ca="1" si="6"/>
        <v>47331</v>
      </c>
      <c r="G51" s="293">
        <f>VLOOKUP(E51+1,'Cashflow Details'!$1:$1005,123)/12</f>
        <v>-148.14170720000024</v>
      </c>
      <c r="H51" s="288"/>
      <c r="I51" s="292">
        <f t="shared" ref="I51:J51" ca="1" si="147">F51</f>
        <v>47331</v>
      </c>
      <c r="J51" s="293">
        <f t="shared" si="147"/>
        <v>-148.14170720000024</v>
      </c>
      <c r="K51" s="288"/>
      <c r="L51" s="292">
        <f t="shared" ref="L51:M51" ca="1" si="148">I51</f>
        <v>47331</v>
      </c>
      <c r="M51" s="293">
        <f t="shared" si="148"/>
        <v>-148.14170720000024</v>
      </c>
      <c r="N51" s="288"/>
      <c r="O51" s="292">
        <f t="shared" ref="O51:P51" ca="1" si="149">L51</f>
        <v>47331</v>
      </c>
      <c r="P51" s="293">
        <f t="shared" si="149"/>
        <v>-148.14170720000024</v>
      </c>
    </row>
    <row r="52" spans="2:16" ht="15.75" customHeight="1">
      <c r="B52" s="288"/>
      <c r="C52" s="288"/>
      <c r="D52" s="288"/>
      <c r="E52" s="289">
        <f t="shared" si="41"/>
        <v>4</v>
      </c>
      <c r="F52" s="292">
        <f t="shared" ca="1" si="6"/>
        <v>47362</v>
      </c>
      <c r="G52" s="293">
        <f>VLOOKUP(E52+1,'Cashflow Details'!$1:$1005,123)/12</f>
        <v>-143.98454134400026</v>
      </c>
      <c r="H52" s="288"/>
      <c r="I52" s="292">
        <f t="shared" ref="I52:J52" ca="1" si="150">F52</f>
        <v>47362</v>
      </c>
      <c r="J52" s="293">
        <f t="shared" si="150"/>
        <v>-143.98454134400026</v>
      </c>
      <c r="K52" s="288"/>
      <c r="L52" s="292">
        <f t="shared" ref="L52:M52" ca="1" si="151">I52</f>
        <v>47362</v>
      </c>
      <c r="M52" s="293">
        <f t="shared" si="151"/>
        <v>-143.98454134400026</v>
      </c>
      <c r="N52" s="288"/>
      <c r="O52" s="292">
        <f t="shared" ref="O52:P52" ca="1" si="152">L52</f>
        <v>47362</v>
      </c>
      <c r="P52" s="293">
        <f t="shared" si="152"/>
        <v>-143.98454134400026</v>
      </c>
    </row>
    <row r="53" spans="2:16" ht="15.75" customHeight="1">
      <c r="B53" s="288"/>
      <c r="C53" s="288"/>
      <c r="D53" s="288"/>
      <c r="E53" s="289">
        <f t="shared" si="41"/>
        <v>4</v>
      </c>
      <c r="F53" s="292">
        <f t="shared" ca="1" si="6"/>
        <v>47392</v>
      </c>
      <c r="G53" s="293">
        <f>VLOOKUP(E53+1,'Cashflow Details'!$1:$1005,123)/12</f>
        <v>-143.98454134400026</v>
      </c>
      <c r="H53" s="288"/>
      <c r="I53" s="292">
        <f t="shared" ref="I53:J53" ca="1" si="153">F53</f>
        <v>47392</v>
      </c>
      <c r="J53" s="293">
        <f t="shared" si="153"/>
        <v>-143.98454134400026</v>
      </c>
      <c r="K53" s="288"/>
      <c r="L53" s="292">
        <f t="shared" ref="L53:M53" ca="1" si="154">I53</f>
        <v>47392</v>
      </c>
      <c r="M53" s="293">
        <f t="shared" si="154"/>
        <v>-143.98454134400026</v>
      </c>
      <c r="N53" s="288"/>
      <c r="O53" s="292">
        <f t="shared" ref="O53:P53" ca="1" si="155">L53</f>
        <v>47392</v>
      </c>
      <c r="P53" s="293">
        <f t="shared" si="155"/>
        <v>-143.98454134400026</v>
      </c>
    </row>
    <row r="54" spans="2:16" ht="15.75" customHeight="1">
      <c r="B54" s="288"/>
      <c r="C54" s="288"/>
      <c r="D54" s="288"/>
      <c r="E54" s="289">
        <f t="shared" si="41"/>
        <v>4</v>
      </c>
      <c r="F54" s="292">
        <f t="shared" ca="1" si="6"/>
        <v>47423</v>
      </c>
      <c r="G54" s="293">
        <f>VLOOKUP(E54+1,'Cashflow Details'!$1:$1005,123)/12</f>
        <v>-143.98454134400026</v>
      </c>
      <c r="H54" s="288"/>
      <c r="I54" s="292">
        <f t="shared" ref="I54:J54" ca="1" si="156">F54</f>
        <v>47423</v>
      </c>
      <c r="J54" s="293">
        <f t="shared" si="156"/>
        <v>-143.98454134400026</v>
      </c>
      <c r="K54" s="288"/>
      <c r="L54" s="292">
        <f t="shared" ref="L54:M54" ca="1" si="157">I54</f>
        <v>47423</v>
      </c>
      <c r="M54" s="293">
        <f t="shared" si="157"/>
        <v>-143.98454134400026</v>
      </c>
      <c r="N54" s="288"/>
      <c r="O54" s="292">
        <f t="shared" ref="O54:P54" ca="1" si="158">L54</f>
        <v>47423</v>
      </c>
      <c r="P54" s="293">
        <f t="shared" si="158"/>
        <v>-143.98454134400026</v>
      </c>
    </row>
    <row r="55" spans="2:16" ht="15.75" customHeight="1">
      <c r="B55" s="288"/>
      <c r="C55" s="288"/>
      <c r="D55" s="288"/>
      <c r="E55" s="289">
        <f t="shared" si="41"/>
        <v>4</v>
      </c>
      <c r="F55" s="292">
        <f t="shared" ca="1" si="6"/>
        <v>47453</v>
      </c>
      <c r="G55" s="293">
        <f>VLOOKUP(E55+1,'Cashflow Details'!$1:$1005,123)/12</f>
        <v>-143.98454134400026</v>
      </c>
      <c r="H55" s="288"/>
      <c r="I55" s="292">
        <f t="shared" ref="I55:J55" ca="1" si="159">F55</f>
        <v>47453</v>
      </c>
      <c r="J55" s="293">
        <f t="shared" si="159"/>
        <v>-143.98454134400026</v>
      </c>
      <c r="K55" s="288"/>
      <c r="L55" s="292">
        <f t="shared" ref="L55:M55" ca="1" si="160">I55</f>
        <v>47453</v>
      </c>
      <c r="M55" s="293">
        <f t="shared" si="160"/>
        <v>-143.98454134400026</v>
      </c>
      <c r="N55" s="288"/>
      <c r="O55" s="292">
        <f t="shared" ref="O55:P55" ca="1" si="161">L55</f>
        <v>47453</v>
      </c>
      <c r="P55" s="293">
        <f t="shared" si="161"/>
        <v>-143.98454134400026</v>
      </c>
    </row>
    <row r="56" spans="2:16" ht="15.75" customHeight="1">
      <c r="B56" s="288"/>
      <c r="C56" s="288"/>
      <c r="D56" s="288"/>
      <c r="E56" s="289">
        <f t="shared" si="41"/>
        <v>4</v>
      </c>
      <c r="F56" s="292">
        <f t="shared" ca="1" si="6"/>
        <v>47484</v>
      </c>
      <c r="G56" s="293">
        <f>VLOOKUP(E56+1,'Cashflow Details'!$1:$1005,123)/12</f>
        <v>-143.98454134400026</v>
      </c>
      <c r="H56" s="288"/>
      <c r="I56" s="292">
        <f t="shared" ref="I56:J56" ca="1" si="162">F56</f>
        <v>47484</v>
      </c>
      <c r="J56" s="293">
        <f t="shared" si="162"/>
        <v>-143.98454134400026</v>
      </c>
      <c r="K56" s="288"/>
      <c r="L56" s="292">
        <f t="shared" ref="L56:M56" ca="1" si="163">I56</f>
        <v>47484</v>
      </c>
      <c r="M56" s="293">
        <f t="shared" si="163"/>
        <v>-143.98454134400026</v>
      </c>
      <c r="N56" s="288"/>
      <c r="O56" s="292">
        <f t="shared" ref="O56:P56" ca="1" si="164">L56</f>
        <v>47484</v>
      </c>
      <c r="P56" s="293">
        <f t="shared" si="164"/>
        <v>-143.98454134400026</v>
      </c>
    </row>
    <row r="57" spans="2:16" ht="15.75" customHeight="1">
      <c r="B57" s="288"/>
      <c r="C57" s="288"/>
      <c r="D57" s="288"/>
      <c r="E57" s="289">
        <f t="shared" si="41"/>
        <v>4</v>
      </c>
      <c r="F57" s="292">
        <f t="shared" ca="1" si="6"/>
        <v>47515</v>
      </c>
      <c r="G57" s="293">
        <f>VLOOKUP(E57+1,'Cashflow Details'!$1:$1005,123)/12</f>
        <v>-143.98454134400026</v>
      </c>
      <c r="H57" s="288"/>
      <c r="I57" s="292">
        <f t="shared" ref="I57:J57" ca="1" si="165">F57</f>
        <v>47515</v>
      </c>
      <c r="J57" s="293">
        <f t="shared" si="165"/>
        <v>-143.98454134400026</v>
      </c>
      <c r="K57" s="288"/>
      <c r="L57" s="292">
        <f t="shared" ref="L57:M57" ca="1" si="166">I57</f>
        <v>47515</v>
      </c>
      <c r="M57" s="293">
        <f t="shared" si="166"/>
        <v>-143.98454134400026</v>
      </c>
      <c r="N57" s="288"/>
      <c r="O57" s="292">
        <f t="shared" ref="O57:P57" ca="1" si="167">L57</f>
        <v>47515</v>
      </c>
      <c r="P57" s="293">
        <f t="shared" si="167"/>
        <v>-143.98454134400026</v>
      </c>
    </row>
    <row r="58" spans="2:16" ht="15.75" customHeight="1">
      <c r="B58" s="288"/>
      <c r="C58" s="288"/>
      <c r="D58" s="288"/>
      <c r="E58" s="289">
        <f t="shared" si="41"/>
        <v>4</v>
      </c>
      <c r="F58" s="292">
        <f t="shared" ca="1" si="6"/>
        <v>47543</v>
      </c>
      <c r="G58" s="293">
        <f>VLOOKUP(E58+1,'Cashflow Details'!$1:$1005,123)/12</f>
        <v>-143.98454134400026</v>
      </c>
      <c r="H58" s="288"/>
      <c r="I58" s="292">
        <f t="shared" ref="I58:J58" ca="1" si="168">F58</f>
        <v>47543</v>
      </c>
      <c r="J58" s="293">
        <f t="shared" si="168"/>
        <v>-143.98454134400026</v>
      </c>
      <c r="K58" s="288"/>
      <c r="L58" s="292">
        <f t="shared" ref="L58:M58" ca="1" si="169">I58</f>
        <v>47543</v>
      </c>
      <c r="M58" s="293">
        <f t="shared" si="169"/>
        <v>-143.98454134400026</v>
      </c>
      <c r="N58" s="288"/>
      <c r="O58" s="292">
        <f t="shared" ref="O58:P58" ca="1" si="170">L58</f>
        <v>47543</v>
      </c>
      <c r="P58" s="293">
        <f t="shared" si="170"/>
        <v>-143.98454134400026</v>
      </c>
    </row>
    <row r="59" spans="2:16" ht="15.75" customHeight="1">
      <c r="B59" s="288"/>
      <c r="C59" s="288"/>
      <c r="D59" s="288"/>
      <c r="E59" s="289">
        <f t="shared" si="41"/>
        <v>4</v>
      </c>
      <c r="F59" s="292">
        <f t="shared" ca="1" si="6"/>
        <v>47574</v>
      </c>
      <c r="G59" s="293">
        <f>VLOOKUP(E59+1,'Cashflow Details'!$1:$1005,123)/12</f>
        <v>-143.98454134400026</v>
      </c>
      <c r="H59" s="288"/>
      <c r="I59" s="292">
        <f t="shared" ref="I59:J59" ca="1" si="171">F59</f>
        <v>47574</v>
      </c>
      <c r="J59" s="293">
        <f t="shared" si="171"/>
        <v>-143.98454134400026</v>
      </c>
      <c r="K59" s="288"/>
      <c r="L59" s="292">
        <f t="shared" ref="L59:M59" ca="1" si="172">I59</f>
        <v>47574</v>
      </c>
      <c r="M59" s="293">
        <f t="shared" si="172"/>
        <v>-143.98454134400026</v>
      </c>
      <c r="N59" s="288"/>
      <c r="O59" s="292">
        <f t="shared" ref="O59:P59" ca="1" si="173">L59</f>
        <v>47574</v>
      </c>
      <c r="P59" s="293">
        <f t="shared" si="173"/>
        <v>-143.98454134400026</v>
      </c>
    </row>
    <row r="60" spans="2:16" ht="15.75" customHeight="1">
      <c r="B60" s="288"/>
      <c r="C60" s="288"/>
      <c r="D60" s="288"/>
      <c r="E60" s="289">
        <f t="shared" si="41"/>
        <v>4</v>
      </c>
      <c r="F60" s="292">
        <f t="shared" ca="1" si="6"/>
        <v>47604</v>
      </c>
      <c r="G60" s="293">
        <f>VLOOKUP(E60+1,'Cashflow Details'!$1:$1005,123)/12</f>
        <v>-143.98454134400026</v>
      </c>
      <c r="H60" s="288"/>
      <c r="I60" s="292">
        <f t="shared" ref="I60:J60" ca="1" si="174">F60</f>
        <v>47604</v>
      </c>
      <c r="J60" s="293">
        <f t="shared" si="174"/>
        <v>-143.98454134400026</v>
      </c>
      <c r="K60" s="288"/>
      <c r="L60" s="292">
        <f t="shared" ref="L60:M60" ca="1" si="175">I60</f>
        <v>47604</v>
      </c>
      <c r="M60" s="293">
        <f t="shared" si="175"/>
        <v>-143.98454134400026</v>
      </c>
      <c r="N60" s="288"/>
      <c r="O60" s="292">
        <f t="shared" ref="O60:P60" ca="1" si="176">L60</f>
        <v>47604</v>
      </c>
      <c r="P60" s="293">
        <f t="shared" si="176"/>
        <v>-143.98454134400026</v>
      </c>
    </row>
    <row r="61" spans="2:16" ht="15.75" customHeight="1">
      <c r="B61" s="288"/>
      <c r="C61" s="288"/>
      <c r="D61" s="288"/>
      <c r="E61" s="289">
        <f t="shared" si="41"/>
        <v>4</v>
      </c>
      <c r="F61" s="292">
        <f t="shared" ca="1" si="6"/>
        <v>47635</v>
      </c>
      <c r="G61" s="293">
        <f>VLOOKUP(E61+1,'Cashflow Details'!$1:$1005,123)/12</f>
        <v>-143.98454134400026</v>
      </c>
      <c r="H61" s="288"/>
      <c r="I61" s="292">
        <f t="shared" ref="I61:J61" ca="1" si="177">F61</f>
        <v>47635</v>
      </c>
      <c r="J61" s="293">
        <f t="shared" si="177"/>
        <v>-143.98454134400026</v>
      </c>
      <c r="K61" s="288"/>
      <c r="L61" s="292">
        <f t="shared" ref="L61:M61" ca="1" si="178">I61</f>
        <v>47635</v>
      </c>
      <c r="M61" s="293">
        <f t="shared" si="178"/>
        <v>-143.98454134400026</v>
      </c>
      <c r="N61" s="288"/>
      <c r="O61" s="292">
        <f t="shared" ref="O61:P61" ca="1" si="179">L61</f>
        <v>47635</v>
      </c>
      <c r="P61" s="293">
        <f t="shared" si="179"/>
        <v>-143.98454134400026</v>
      </c>
    </row>
    <row r="62" spans="2:16" ht="15.75" customHeight="1">
      <c r="B62" s="288"/>
      <c r="C62" s="288"/>
      <c r="D62" s="288"/>
      <c r="E62" s="289">
        <f t="shared" si="41"/>
        <v>4</v>
      </c>
      <c r="F62" s="292">
        <f t="shared" ca="1" si="6"/>
        <v>47665</v>
      </c>
      <c r="G62" s="293">
        <f>VLOOKUP(E62+1,'Cashflow Details'!$1:$1005,123)/12</f>
        <v>-143.98454134400026</v>
      </c>
      <c r="H62" s="288"/>
      <c r="I62" s="292">
        <f t="shared" ref="I62:J62" ca="1" si="180">F62</f>
        <v>47665</v>
      </c>
      <c r="J62" s="293">
        <f t="shared" si="180"/>
        <v>-143.98454134400026</v>
      </c>
      <c r="K62" s="288"/>
      <c r="L62" s="292">
        <f t="shared" ref="L62:M62" ca="1" si="181">I62</f>
        <v>47665</v>
      </c>
      <c r="M62" s="293">
        <f t="shared" si="181"/>
        <v>-143.98454134400026</v>
      </c>
      <c r="N62" s="288"/>
      <c r="O62" s="292">
        <f t="shared" ref="O62:P62" ca="1" si="182">L62</f>
        <v>47665</v>
      </c>
      <c r="P62" s="293">
        <f t="shared" si="182"/>
        <v>-143.98454134400026</v>
      </c>
    </row>
    <row r="63" spans="2:16" ht="15.75" customHeight="1">
      <c r="B63" s="288"/>
      <c r="C63" s="288"/>
      <c r="D63" s="288"/>
      <c r="E63" s="289">
        <f t="shared" si="41"/>
        <v>4</v>
      </c>
      <c r="F63" s="292">
        <f t="shared" ca="1" si="6"/>
        <v>47696</v>
      </c>
      <c r="G63" s="293">
        <f>VLOOKUP(E63+1,'Cashflow Details'!$1:$1005,123)/12</f>
        <v>-143.98454134400026</v>
      </c>
      <c r="H63" s="288"/>
      <c r="I63" s="292">
        <f t="shared" ref="I63:J63" ca="1" si="183">F63</f>
        <v>47696</v>
      </c>
      <c r="J63" s="293">
        <f t="shared" si="183"/>
        <v>-143.98454134400026</v>
      </c>
      <c r="K63" s="288"/>
      <c r="L63" s="292">
        <f t="shared" ref="L63:M63" ca="1" si="184">I63</f>
        <v>47696</v>
      </c>
      <c r="M63" s="293">
        <f t="shared" si="184"/>
        <v>-143.98454134400026</v>
      </c>
      <c r="N63" s="288"/>
      <c r="O63" s="292">
        <f t="shared" ref="O63:P63" ca="1" si="185">L63</f>
        <v>47696</v>
      </c>
      <c r="P63" s="293">
        <f t="shared" si="185"/>
        <v>-143.98454134400026</v>
      </c>
    </row>
    <row r="64" spans="2:16" ht="15.75" customHeight="1">
      <c r="B64" s="288"/>
      <c r="C64" s="288"/>
      <c r="D64" s="288"/>
      <c r="E64" s="289">
        <f t="shared" si="41"/>
        <v>5</v>
      </c>
      <c r="F64" s="292">
        <f t="shared" ca="1" si="6"/>
        <v>47727</v>
      </c>
      <c r="G64" s="293">
        <f>VLOOKUP(E64+1,'Cashflow Details'!$1:$1005,123)/12</f>
        <v>-139.82256550421366</v>
      </c>
      <c r="H64" s="288"/>
      <c r="I64" s="292">
        <f t="shared" ref="I64:J64" ca="1" si="186">F64</f>
        <v>47727</v>
      </c>
      <c r="J64" s="293">
        <f t="shared" si="186"/>
        <v>-139.82256550421366</v>
      </c>
      <c r="K64" s="288"/>
      <c r="L64" s="292">
        <f t="shared" ref="L64:M64" ca="1" si="187">I64</f>
        <v>47727</v>
      </c>
      <c r="M64" s="293">
        <f t="shared" si="187"/>
        <v>-139.82256550421366</v>
      </c>
      <c r="N64" s="288"/>
      <c r="O64" s="292">
        <f t="shared" ref="O64:P64" ca="1" si="188">L64</f>
        <v>47727</v>
      </c>
      <c r="P64" s="293">
        <f t="shared" si="188"/>
        <v>-139.82256550421366</v>
      </c>
    </row>
    <row r="65" spans="2:16" ht="15.75" customHeight="1">
      <c r="B65" s="288"/>
      <c r="C65" s="288"/>
      <c r="D65" s="288"/>
      <c r="E65" s="289">
        <f t="shared" si="41"/>
        <v>5</v>
      </c>
      <c r="F65" s="292">
        <f t="shared" ca="1" si="6"/>
        <v>47757</v>
      </c>
      <c r="G65" s="293">
        <f>VLOOKUP(E65+1,'Cashflow Details'!$1:$1005,123)/12</f>
        <v>-139.82256550421366</v>
      </c>
      <c r="H65" s="288"/>
      <c r="I65" s="292">
        <f t="shared" ref="I65:J65" ca="1" si="189">F65</f>
        <v>47757</v>
      </c>
      <c r="J65" s="293">
        <f t="shared" si="189"/>
        <v>-139.82256550421366</v>
      </c>
      <c r="K65" s="288"/>
      <c r="L65" s="292">
        <f t="shared" ref="L65:M65" ca="1" si="190">I65</f>
        <v>47757</v>
      </c>
      <c r="M65" s="293">
        <f t="shared" si="190"/>
        <v>-139.82256550421366</v>
      </c>
      <c r="N65" s="288"/>
      <c r="O65" s="292">
        <f t="shared" ref="O65:P65" ca="1" si="191">L65</f>
        <v>47757</v>
      </c>
      <c r="P65" s="293">
        <f t="shared" si="191"/>
        <v>-139.82256550421366</v>
      </c>
    </row>
    <row r="66" spans="2:16" ht="15.75" customHeight="1">
      <c r="B66" s="288"/>
      <c r="C66" s="288"/>
      <c r="D66" s="288"/>
      <c r="E66" s="289">
        <f t="shared" si="41"/>
        <v>5</v>
      </c>
      <c r="F66" s="292">
        <f t="shared" ca="1" si="6"/>
        <v>47788</v>
      </c>
      <c r="G66" s="293">
        <f>VLOOKUP(E66+1,'Cashflow Details'!$1:$1005,123)/12</f>
        <v>-139.82256550421366</v>
      </c>
      <c r="H66" s="288"/>
      <c r="I66" s="292">
        <f t="shared" ref="I66:J66" ca="1" si="192">F66</f>
        <v>47788</v>
      </c>
      <c r="J66" s="293">
        <f t="shared" si="192"/>
        <v>-139.82256550421366</v>
      </c>
      <c r="K66" s="288"/>
      <c r="L66" s="292">
        <f t="shared" ref="L66:M66" ca="1" si="193">I66</f>
        <v>47788</v>
      </c>
      <c r="M66" s="293">
        <f t="shared" si="193"/>
        <v>-139.82256550421366</v>
      </c>
      <c r="N66" s="288"/>
      <c r="O66" s="292">
        <f t="shared" ref="O66:P66" ca="1" si="194">L66</f>
        <v>47788</v>
      </c>
      <c r="P66" s="293">
        <f t="shared" si="194"/>
        <v>-139.82256550421366</v>
      </c>
    </row>
    <row r="67" spans="2:16" ht="15.75" customHeight="1">
      <c r="B67" s="288"/>
      <c r="C67" s="288"/>
      <c r="D67" s="288"/>
      <c r="E67" s="289">
        <f t="shared" si="41"/>
        <v>5</v>
      </c>
      <c r="F67" s="292">
        <f t="shared" ca="1" si="6"/>
        <v>47818</v>
      </c>
      <c r="G67" s="293">
        <f>VLOOKUP(E67+1,'Cashflow Details'!$1:$1005,123)/12</f>
        <v>-139.82256550421366</v>
      </c>
      <c r="H67" s="288"/>
      <c r="I67" s="292">
        <f t="shared" ref="I67:J67" ca="1" si="195">F67</f>
        <v>47818</v>
      </c>
      <c r="J67" s="293">
        <f t="shared" si="195"/>
        <v>-139.82256550421366</v>
      </c>
      <c r="K67" s="288"/>
      <c r="L67" s="292">
        <f t="shared" ref="L67:M67" ca="1" si="196">I67</f>
        <v>47818</v>
      </c>
      <c r="M67" s="293">
        <f t="shared" si="196"/>
        <v>-139.82256550421366</v>
      </c>
      <c r="N67" s="288"/>
      <c r="O67" s="292">
        <f t="shared" ref="O67:P67" ca="1" si="197">L67</f>
        <v>47818</v>
      </c>
      <c r="P67" s="293">
        <f t="shared" si="197"/>
        <v>-139.82256550421366</v>
      </c>
    </row>
    <row r="68" spans="2:16" ht="15.75" customHeight="1">
      <c r="B68" s="288"/>
      <c r="C68" s="288"/>
      <c r="D68" s="288"/>
      <c r="E68" s="289">
        <f t="shared" si="41"/>
        <v>5</v>
      </c>
      <c r="F68" s="292">
        <f t="shared" ca="1" si="6"/>
        <v>47849</v>
      </c>
      <c r="G68" s="293">
        <f>VLOOKUP(E68+1,'Cashflow Details'!$1:$1005,123)/12</f>
        <v>-139.82256550421366</v>
      </c>
      <c r="H68" s="288"/>
      <c r="I68" s="292">
        <f t="shared" ref="I68:J68" ca="1" si="198">F68</f>
        <v>47849</v>
      </c>
      <c r="J68" s="293">
        <f t="shared" si="198"/>
        <v>-139.82256550421366</v>
      </c>
      <c r="K68" s="288"/>
      <c r="L68" s="292">
        <f t="shared" ref="L68:M68" ca="1" si="199">I68</f>
        <v>47849</v>
      </c>
      <c r="M68" s="293">
        <f t="shared" si="199"/>
        <v>-139.82256550421366</v>
      </c>
      <c r="N68" s="288"/>
      <c r="O68" s="292">
        <f t="shared" ref="O68:P68" ca="1" si="200">L68</f>
        <v>47849</v>
      </c>
      <c r="P68" s="293">
        <f t="shared" si="200"/>
        <v>-139.82256550421366</v>
      </c>
    </row>
    <row r="69" spans="2:16" ht="15.75" customHeight="1">
      <c r="B69" s="288"/>
      <c r="C69" s="288"/>
      <c r="D69" s="288"/>
      <c r="E69" s="289">
        <f t="shared" si="41"/>
        <v>5</v>
      </c>
      <c r="F69" s="292">
        <f t="shared" ca="1" si="6"/>
        <v>47880</v>
      </c>
      <c r="G69" s="293">
        <f>VLOOKUP(E69+1,'Cashflow Details'!$1:$1005,123)/12</f>
        <v>-139.82256550421366</v>
      </c>
      <c r="H69" s="288"/>
      <c r="I69" s="292">
        <f t="shared" ref="I69:J69" ca="1" si="201">F69</f>
        <v>47880</v>
      </c>
      <c r="J69" s="293">
        <f t="shared" si="201"/>
        <v>-139.82256550421366</v>
      </c>
      <c r="K69" s="288"/>
      <c r="L69" s="292">
        <f t="shared" ref="L69:M69" ca="1" si="202">I69</f>
        <v>47880</v>
      </c>
      <c r="M69" s="293">
        <f t="shared" si="202"/>
        <v>-139.82256550421366</v>
      </c>
      <c r="N69" s="288"/>
      <c r="O69" s="292">
        <f t="shared" ref="O69:P69" ca="1" si="203">L69</f>
        <v>47880</v>
      </c>
      <c r="P69" s="293">
        <f t="shared" si="203"/>
        <v>-139.82256550421366</v>
      </c>
    </row>
    <row r="70" spans="2:16" ht="15.75" customHeight="1">
      <c r="B70" s="288"/>
      <c r="C70" s="288"/>
      <c r="D70" s="288"/>
      <c r="E70" s="289">
        <f t="shared" si="41"/>
        <v>5</v>
      </c>
      <c r="F70" s="292">
        <f t="shared" ca="1" si="6"/>
        <v>47908</v>
      </c>
      <c r="G70" s="293">
        <f>VLOOKUP(E70+1,'Cashflow Details'!$1:$1005,123)/12</f>
        <v>-139.82256550421366</v>
      </c>
      <c r="H70" s="288"/>
      <c r="I70" s="292">
        <f t="shared" ref="I70:J70" ca="1" si="204">F70</f>
        <v>47908</v>
      </c>
      <c r="J70" s="293">
        <f t="shared" si="204"/>
        <v>-139.82256550421366</v>
      </c>
      <c r="K70" s="288"/>
      <c r="L70" s="292">
        <f t="shared" ref="L70:M70" ca="1" si="205">I70</f>
        <v>47908</v>
      </c>
      <c r="M70" s="293">
        <f t="shared" si="205"/>
        <v>-139.82256550421366</v>
      </c>
      <c r="N70" s="288"/>
      <c r="O70" s="292">
        <f t="shared" ref="O70:P70" ca="1" si="206">L70</f>
        <v>47908</v>
      </c>
      <c r="P70" s="293">
        <f t="shared" si="206"/>
        <v>-139.82256550421366</v>
      </c>
    </row>
    <row r="71" spans="2:16" ht="15.75" customHeight="1">
      <c r="B71" s="288"/>
      <c r="C71" s="288"/>
      <c r="D71" s="288"/>
      <c r="E71" s="289">
        <f t="shared" si="41"/>
        <v>5</v>
      </c>
      <c r="F71" s="292">
        <f t="shared" ca="1" si="6"/>
        <v>47939</v>
      </c>
      <c r="G71" s="293">
        <f>VLOOKUP(E71+1,'Cashflow Details'!$1:$1005,123)/12</f>
        <v>-139.82256550421366</v>
      </c>
      <c r="H71" s="288"/>
      <c r="I71" s="292">
        <f t="shared" ref="I71:J71" ca="1" si="207">F71</f>
        <v>47939</v>
      </c>
      <c r="J71" s="293">
        <f t="shared" si="207"/>
        <v>-139.82256550421366</v>
      </c>
      <c r="K71" s="288"/>
      <c r="L71" s="292">
        <f t="shared" ref="L71:M71" ca="1" si="208">I71</f>
        <v>47939</v>
      </c>
      <c r="M71" s="293">
        <f t="shared" si="208"/>
        <v>-139.82256550421366</v>
      </c>
      <c r="N71" s="288"/>
      <c r="O71" s="292">
        <f t="shared" ref="O71:P71" ca="1" si="209">L71</f>
        <v>47939</v>
      </c>
      <c r="P71" s="293">
        <f t="shared" si="209"/>
        <v>-139.82256550421366</v>
      </c>
    </row>
    <row r="72" spans="2:16" ht="15.75" customHeight="1">
      <c r="B72" s="288"/>
      <c r="C72" s="288"/>
      <c r="D72" s="288"/>
      <c r="E72" s="289">
        <f t="shared" si="41"/>
        <v>5</v>
      </c>
      <c r="F72" s="292">
        <f t="shared" ca="1" si="6"/>
        <v>47969</v>
      </c>
      <c r="G72" s="293">
        <f>VLOOKUP(E72+1,'Cashflow Details'!$1:$1005,123)/12</f>
        <v>-139.82256550421366</v>
      </c>
      <c r="H72" s="288"/>
      <c r="I72" s="292">
        <f t="shared" ref="I72:J72" ca="1" si="210">F72</f>
        <v>47969</v>
      </c>
      <c r="J72" s="293">
        <f t="shared" si="210"/>
        <v>-139.82256550421366</v>
      </c>
      <c r="K72" s="288"/>
      <c r="L72" s="292">
        <f t="shared" ref="L72:M72" ca="1" si="211">I72</f>
        <v>47969</v>
      </c>
      <c r="M72" s="293">
        <f t="shared" si="211"/>
        <v>-139.82256550421366</v>
      </c>
      <c r="N72" s="288"/>
      <c r="O72" s="292">
        <f t="shared" ref="O72:P72" ca="1" si="212">L72</f>
        <v>47969</v>
      </c>
      <c r="P72" s="293">
        <f t="shared" si="212"/>
        <v>-139.82256550421366</v>
      </c>
    </row>
    <row r="73" spans="2:16" ht="15.75" customHeight="1">
      <c r="B73" s="288"/>
      <c r="C73" s="288"/>
      <c r="D73" s="288"/>
      <c r="E73" s="289">
        <f t="shared" si="41"/>
        <v>5</v>
      </c>
      <c r="F73" s="292">
        <f t="shared" ca="1" si="6"/>
        <v>48000</v>
      </c>
      <c r="G73" s="293">
        <f>VLOOKUP(E73+1,'Cashflow Details'!$1:$1005,123)/12</f>
        <v>-139.82256550421366</v>
      </c>
      <c r="H73" s="288"/>
      <c r="I73" s="292">
        <f t="shared" ref="I73:J73" ca="1" si="213">F73</f>
        <v>48000</v>
      </c>
      <c r="J73" s="293">
        <f t="shared" si="213"/>
        <v>-139.82256550421366</v>
      </c>
      <c r="K73" s="288"/>
      <c r="L73" s="292">
        <f t="shared" ref="L73:M73" ca="1" si="214">I73</f>
        <v>48000</v>
      </c>
      <c r="M73" s="293">
        <f t="shared" si="214"/>
        <v>-139.82256550421366</v>
      </c>
      <c r="N73" s="288"/>
      <c r="O73" s="292">
        <f t="shared" ref="O73:P73" ca="1" si="215">L73</f>
        <v>48000</v>
      </c>
      <c r="P73" s="293">
        <f t="shared" si="215"/>
        <v>-139.82256550421366</v>
      </c>
    </row>
    <row r="74" spans="2:16" ht="15.75" customHeight="1">
      <c r="B74" s="288"/>
      <c r="C74" s="288"/>
      <c r="D74" s="288"/>
      <c r="E74" s="289">
        <f t="shared" si="41"/>
        <v>5</v>
      </c>
      <c r="F74" s="292">
        <f t="shared" ca="1" si="6"/>
        <v>48030</v>
      </c>
      <c r="G74" s="293">
        <f>VLOOKUP(E74+1,'Cashflow Details'!$1:$1005,123)/12</f>
        <v>-139.82256550421366</v>
      </c>
      <c r="H74" s="288"/>
      <c r="I74" s="292">
        <f t="shared" ref="I74:J74" ca="1" si="216">F74</f>
        <v>48030</v>
      </c>
      <c r="J74" s="293">
        <f t="shared" si="216"/>
        <v>-139.82256550421366</v>
      </c>
      <c r="K74" s="288"/>
      <c r="L74" s="292">
        <f t="shared" ref="L74:M74" ca="1" si="217">I74</f>
        <v>48030</v>
      </c>
      <c r="M74" s="293">
        <f t="shared" si="217"/>
        <v>-139.82256550421366</v>
      </c>
      <c r="N74" s="288"/>
      <c r="O74" s="292">
        <f t="shared" ref="O74:P74" ca="1" si="218">L74</f>
        <v>48030</v>
      </c>
      <c r="P74" s="293">
        <f t="shared" si="218"/>
        <v>-139.82256550421366</v>
      </c>
    </row>
    <row r="75" spans="2:16" ht="15.75" customHeight="1">
      <c r="B75" s="288"/>
      <c r="C75" s="288"/>
      <c r="D75" s="288"/>
      <c r="E75" s="289">
        <f t="shared" si="41"/>
        <v>5</v>
      </c>
      <c r="F75" s="292">
        <f t="shared" ca="1" si="6"/>
        <v>48061</v>
      </c>
      <c r="G75" s="293">
        <f>VLOOKUP(E75+1,'Cashflow Details'!$1:$1005,123)/12</f>
        <v>-139.82256550421366</v>
      </c>
      <c r="H75" s="288"/>
      <c r="I75" s="292">
        <f t="shared" ref="I75:J75" ca="1" si="219">F75</f>
        <v>48061</v>
      </c>
      <c r="J75" s="293">
        <f t="shared" si="219"/>
        <v>-139.82256550421366</v>
      </c>
      <c r="K75" s="288"/>
      <c r="L75" s="292">
        <f t="shared" ref="L75:M75" ca="1" si="220">I75</f>
        <v>48061</v>
      </c>
      <c r="M75" s="293">
        <f t="shared" si="220"/>
        <v>-139.82256550421366</v>
      </c>
      <c r="N75" s="288"/>
      <c r="O75" s="292">
        <f t="shared" ref="O75:P75" ca="1" si="221">L75</f>
        <v>48061</v>
      </c>
      <c r="P75" s="293">
        <f t="shared" si="221"/>
        <v>-139.82256550421366</v>
      </c>
    </row>
    <row r="76" spans="2:16" ht="15.75" customHeight="1">
      <c r="B76" s="288"/>
      <c r="C76" s="288"/>
      <c r="D76" s="288"/>
      <c r="E76" s="289">
        <f t="shared" si="41"/>
        <v>6</v>
      </c>
      <c r="F76" s="292">
        <f t="shared" ca="1" si="6"/>
        <v>48092</v>
      </c>
      <c r="G76" s="293">
        <f>VLOOKUP(E76+1,'Cashflow Details'!$1:$1005,123)/12</f>
        <v>-135.73235014763091</v>
      </c>
      <c r="H76" s="288"/>
      <c r="I76" s="292">
        <f t="shared" ref="I76:J76" ca="1" si="222">F76</f>
        <v>48092</v>
      </c>
      <c r="J76" s="293">
        <f t="shared" si="222"/>
        <v>-135.73235014763091</v>
      </c>
      <c r="K76" s="288"/>
      <c r="L76" s="292">
        <f t="shared" ref="L76:M76" ca="1" si="223">I76</f>
        <v>48092</v>
      </c>
      <c r="M76" s="293">
        <f t="shared" si="223"/>
        <v>-135.73235014763091</v>
      </c>
      <c r="N76" s="288"/>
      <c r="O76" s="292">
        <f t="shared" ref="O76:P76" ca="1" si="224">L76</f>
        <v>48092</v>
      </c>
      <c r="P76" s="293">
        <f t="shared" si="224"/>
        <v>-135.73235014763091</v>
      </c>
    </row>
    <row r="77" spans="2:16" ht="15.75" customHeight="1">
      <c r="B77" s="288"/>
      <c r="C77" s="288"/>
      <c r="D77" s="288"/>
      <c r="E77" s="289">
        <f t="shared" si="41"/>
        <v>6</v>
      </c>
      <c r="F77" s="292">
        <f t="shared" ca="1" si="6"/>
        <v>48122</v>
      </c>
      <c r="G77" s="293">
        <f>VLOOKUP(E77+1,'Cashflow Details'!$1:$1005,123)/12</f>
        <v>-135.73235014763091</v>
      </c>
      <c r="H77" s="288"/>
      <c r="I77" s="292">
        <f t="shared" ref="I77:J77" ca="1" si="225">F77</f>
        <v>48122</v>
      </c>
      <c r="J77" s="293">
        <f t="shared" si="225"/>
        <v>-135.73235014763091</v>
      </c>
      <c r="K77" s="288"/>
      <c r="L77" s="292">
        <f t="shared" ref="L77:M77" ca="1" si="226">I77</f>
        <v>48122</v>
      </c>
      <c r="M77" s="293">
        <f t="shared" si="226"/>
        <v>-135.73235014763091</v>
      </c>
      <c r="N77" s="288"/>
      <c r="O77" s="292">
        <f t="shared" ref="O77:P77" ca="1" si="227">L77</f>
        <v>48122</v>
      </c>
      <c r="P77" s="293">
        <f t="shared" si="227"/>
        <v>-135.73235014763091</v>
      </c>
    </row>
    <row r="78" spans="2:16" ht="15.75" customHeight="1">
      <c r="B78" s="288"/>
      <c r="C78" s="288"/>
      <c r="D78" s="288"/>
      <c r="E78" s="289">
        <f t="shared" si="41"/>
        <v>6</v>
      </c>
      <c r="F78" s="292">
        <f t="shared" ca="1" si="6"/>
        <v>48153</v>
      </c>
      <c r="G78" s="293">
        <f>VLOOKUP(E78+1,'Cashflow Details'!$1:$1005,123)/12</f>
        <v>-135.73235014763091</v>
      </c>
      <c r="H78" s="288"/>
      <c r="I78" s="292">
        <f t="shared" ref="I78:J78" ca="1" si="228">F78</f>
        <v>48153</v>
      </c>
      <c r="J78" s="293">
        <f t="shared" si="228"/>
        <v>-135.73235014763091</v>
      </c>
      <c r="K78" s="288"/>
      <c r="L78" s="292">
        <f t="shared" ref="L78:M78" ca="1" si="229">I78</f>
        <v>48153</v>
      </c>
      <c r="M78" s="293">
        <f t="shared" si="229"/>
        <v>-135.73235014763091</v>
      </c>
      <c r="N78" s="288"/>
      <c r="O78" s="292">
        <f t="shared" ref="O78:P78" ca="1" si="230">L78</f>
        <v>48153</v>
      </c>
      <c r="P78" s="293">
        <f t="shared" si="230"/>
        <v>-135.73235014763091</v>
      </c>
    </row>
    <row r="79" spans="2:16" ht="15.75" customHeight="1">
      <c r="B79" s="288"/>
      <c r="C79" s="288"/>
      <c r="D79" s="288"/>
      <c r="E79" s="289">
        <f t="shared" si="41"/>
        <v>6</v>
      </c>
      <c r="F79" s="292">
        <f t="shared" ca="1" si="6"/>
        <v>48183</v>
      </c>
      <c r="G79" s="293">
        <f>VLOOKUP(E79+1,'Cashflow Details'!$1:$1005,123)/12</f>
        <v>-135.73235014763091</v>
      </c>
      <c r="H79" s="288"/>
      <c r="I79" s="292">
        <f t="shared" ref="I79:J79" ca="1" si="231">F79</f>
        <v>48183</v>
      </c>
      <c r="J79" s="293">
        <f t="shared" si="231"/>
        <v>-135.73235014763091</v>
      </c>
      <c r="K79" s="288"/>
      <c r="L79" s="292">
        <f t="shared" ref="L79:M79" ca="1" si="232">I79</f>
        <v>48183</v>
      </c>
      <c r="M79" s="293">
        <f t="shared" si="232"/>
        <v>-135.73235014763091</v>
      </c>
      <c r="N79" s="288"/>
      <c r="O79" s="292">
        <f t="shared" ref="O79:P79" ca="1" si="233">L79</f>
        <v>48183</v>
      </c>
      <c r="P79" s="293">
        <f t="shared" si="233"/>
        <v>-135.73235014763091</v>
      </c>
    </row>
    <row r="80" spans="2:16" ht="15.75" customHeight="1">
      <c r="B80" s="288"/>
      <c r="C80" s="288"/>
      <c r="D80" s="288"/>
      <c r="E80" s="289">
        <f t="shared" si="41"/>
        <v>6</v>
      </c>
      <c r="F80" s="292">
        <f t="shared" ca="1" si="6"/>
        <v>48214</v>
      </c>
      <c r="G80" s="293">
        <f>VLOOKUP(E80+1,'Cashflow Details'!$1:$1005,123)/12</f>
        <v>-135.73235014763091</v>
      </c>
      <c r="H80" s="288"/>
      <c r="I80" s="292">
        <f t="shared" ref="I80:J80" ca="1" si="234">F80</f>
        <v>48214</v>
      </c>
      <c r="J80" s="293">
        <f t="shared" si="234"/>
        <v>-135.73235014763091</v>
      </c>
      <c r="K80" s="288"/>
      <c r="L80" s="292">
        <f t="shared" ref="L80:M80" ca="1" si="235">I80</f>
        <v>48214</v>
      </c>
      <c r="M80" s="293">
        <f t="shared" si="235"/>
        <v>-135.73235014763091</v>
      </c>
      <c r="N80" s="288"/>
      <c r="O80" s="292">
        <f t="shared" ref="O80:P80" ca="1" si="236">L80</f>
        <v>48214</v>
      </c>
      <c r="P80" s="293">
        <f t="shared" si="236"/>
        <v>-135.73235014763091</v>
      </c>
    </row>
    <row r="81" spans="2:16" ht="15.75" customHeight="1">
      <c r="B81" s="288"/>
      <c r="C81" s="288"/>
      <c r="D81" s="288"/>
      <c r="E81" s="289">
        <f t="shared" si="41"/>
        <v>6</v>
      </c>
      <c r="F81" s="292">
        <f t="shared" ca="1" si="6"/>
        <v>48245</v>
      </c>
      <c r="G81" s="293">
        <f>VLOOKUP(E81+1,'Cashflow Details'!$1:$1005,123)/12</f>
        <v>-135.73235014763091</v>
      </c>
      <c r="H81" s="288"/>
      <c r="I81" s="292">
        <f t="shared" ref="I81:J81" ca="1" si="237">F81</f>
        <v>48245</v>
      </c>
      <c r="J81" s="293">
        <f t="shared" si="237"/>
        <v>-135.73235014763091</v>
      </c>
      <c r="K81" s="288"/>
      <c r="L81" s="292">
        <f t="shared" ref="L81:M81" ca="1" si="238">I81</f>
        <v>48245</v>
      </c>
      <c r="M81" s="293">
        <f t="shared" si="238"/>
        <v>-135.73235014763091</v>
      </c>
      <c r="N81" s="288"/>
      <c r="O81" s="292">
        <f t="shared" ref="O81:P81" ca="1" si="239">L81</f>
        <v>48245</v>
      </c>
      <c r="P81" s="293">
        <f t="shared" si="239"/>
        <v>-135.73235014763091</v>
      </c>
    </row>
    <row r="82" spans="2:16" ht="15.75" customHeight="1">
      <c r="B82" s="288"/>
      <c r="C82" s="288"/>
      <c r="D82" s="288"/>
      <c r="E82" s="289">
        <f t="shared" si="41"/>
        <v>6</v>
      </c>
      <c r="F82" s="292">
        <f t="shared" ca="1" si="6"/>
        <v>48274</v>
      </c>
      <c r="G82" s="293">
        <f>VLOOKUP(E82+1,'Cashflow Details'!$1:$1005,123)/12</f>
        <v>-135.73235014763091</v>
      </c>
      <c r="H82" s="288"/>
      <c r="I82" s="292">
        <f t="shared" ref="I82:J82" ca="1" si="240">F82</f>
        <v>48274</v>
      </c>
      <c r="J82" s="293">
        <f t="shared" si="240"/>
        <v>-135.73235014763091</v>
      </c>
      <c r="K82" s="288"/>
      <c r="L82" s="292">
        <f t="shared" ref="L82:M82" ca="1" si="241">I82</f>
        <v>48274</v>
      </c>
      <c r="M82" s="293">
        <f t="shared" si="241"/>
        <v>-135.73235014763091</v>
      </c>
      <c r="N82" s="288"/>
      <c r="O82" s="292">
        <f t="shared" ref="O82:P82" ca="1" si="242">L82</f>
        <v>48274</v>
      </c>
      <c r="P82" s="293">
        <f t="shared" si="242"/>
        <v>-135.73235014763091</v>
      </c>
    </row>
    <row r="83" spans="2:16" ht="15.75" customHeight="1">
      <c r="B83" s="288"/>
      <c r="C83" s="288"/>
      <c r="D83" s="288"/>
      <c r="E83" s="289">
        <f t="shared" si="41"/>
        <v>6</v>
      </c>
      <c r="F83" s="292">
        <f t="shared" ca="1" si="6"/>
        <v>48305</v>
      </c>
      <c r="G83" s="293">
        <f>VLOOKUP(E83+1,'Cashflow Details'!$1:$1005,123)/12</f>
        <v>-135.73235014763091</v>
      </c>
      <c r="H83" s="288"/>
      <c r="I83" s="292">
        <f t="shared" ref="I83:J83" ca="1" si="243">F83</f>
        <v>48305</v>
      </c>
      <c r="J83" s="293">
        <f t="shared" si="243"/>
        <v>-135.73235014763091</v>
      </c>
      <c r="K83" s="288"/>
      <c r="L83" s="292">
        <f t="shared" ref="L83:M83" ca="1" si="244">I83</f>
        <v>48305</v>
      </c>
      <c r="M83" s="293">
        <f t="shared" si="244"/>
        <v>-135.73235014763091</v>
      </c>
      <c r="N83" s="288"/>
      <c r="O83" s="292">
        <f t="shared" ref="O83:P83" ca="1" si="245">L83</f>
        <v>48305</v>
      </c>
      <c r="P83" s="293">
        <f t="shared" si="245"/>
        <v>-135.73235014763091</v>
      </c>
    </row>
    <row r="84" spans="2:16" ht="15.75" customHeight="1">
      <c r="B84" s="288"/>
      <c r="C84" s="288"/>
      <c r="D84" s="288"/>
      <c r="E84" s="289">
        <f t="shared" si="41"/>
        <v>6</v>
      </c>
      <c r="F84" s="292">
        <f t="shared" ca="1" si="6"/>
        <v>48335</v>
      </c>
      <c r="G84" s="293">
        <f>VLOOKUP(E84+1,'Cashflow Details'!$1:$1005,123)/12</f>
        <v>-135.73235014763091</v>
      </c>
      <c r="H84" s="288"/>
      <c r="I84" s="292">
        <f t="shared" ref="I84:J84" ca="1" si="246">F84</f>
        <v>48335</v>
      </c>
      <c r="J84" s="293">
        <f t="shared" si="246"/>
        <v>-135.73235014763091</v>
      </c>
      <c r="K84" s="288"/>
      <c r="L84" s="292">
        <f t="shared" ref="L84:M84" ca="1" si="247">I84</f>
        <v>48335</v>
      </c>
      <c r="M84" s="293">
        <f t="shared" si="247"/>
        <v>-135.73235014763091</v>
      </c>
      <c r="N84" s="288"/>
      <c r="O84" s="292">
        <f t="shared" ref="O84:P84" ca="1" si="248">L84</f>
        <v>48335</v>
      </c>
      <c r="P84" s="293">
        <f t="shared" si="248"/>
        <v>-135.73235014763091</v>
      </c>
    </row>
    <row r="85" spans="2:16" ht="15.75" customHeight="1">
      <c r="B85" s="288"/>
      <c r="C85" s="288"/>
      <c r="D85" s="288"/>
      <c r="E85" s="289">
        <f t="shared" si="41"/>
        <v>6</v>
      </c>
      <c r="F85" s="292">
        <f t="shared" ca="1" si="6"/>
        <v>48366</v>
      </c>
      <c r="G85" s="293">
        <f>VLOOKUP(E85+1,'Cashflow Details'!$1:$1005,123)/12</f>
        <v>-135.73235014763091</v>
      </c>
      <c r="H85" s="288"/>
      <c r="I85" s="292">
        <f t="shared" ref="I85:J85" ca="1" si="249">F85</f>
        <v>48366</v>
      </c>
      <c r="J85" s="293">
        <f t="shared" si="249"/>
        <v>-135.73235014763091</v>
      </c>
      <c r="K85" s="288"/>
      <c r="L85" s="292">
        <f t="shared" ref="L85:M85" ca="1" si="250">I85</f>
        <v>48366</v>
      </c>
      <c r="M85" s="293">
        <f t="shared" si="250"/>
        <v>-135.73235014763091</v>
      </c>
      <c r="N85" s="288"/>
      <c r="O85" s="292">
        <f t="shared" ref="O85:P85" ca="1" si="251">L85</f>
        <v>48366</v>
      </c>
      <c r="P85" s="293">
        <f t="shared" si="251"/>
        <v>-135.73235014763091</v>
      </c>
    </row>
    <row r="86" spans="2:16" ht="15.75" customHeight="1">
      <c r="B86" s="288"/>
      <c r="C86" s="288"/>
      <c r="D86" s="288"/>
      <c r="E86" s="289">
        <f t="shared" si="41"/>
        <v>6</v>
      </c>
      <c r="F86" s="292">
        <f t="shared" ca="1" si="6"/>
        <v>48396</v>
      </c>
      <c r="G86" s="293">
        <f>VLOOKUP(E86+1,'Cashflow Details'!$1:$1005,123)/12</f>
        <v>-135.73235014763091</v>
      </c>
      <c r="H86" s="288"/>
      <c r="I86" s="292">
        <f t="shared" ref="I86:J86" ca="1" si="252">F86</f>
        <v>48396</v>
      </c>
      <c r="J86" s="293">
        <f t="shared" si="252"/>
        <v>-135.73235014763091</v>
      </c>
      <c r="K86" s="288"/>
      <c r="L86" s="292">
        <f t="shared" ref="L86:M86" ca="1" si="253">I86</f>
        <v>48396</v>
      </c>
      <c r="M86" s="293">
        <f t="shared" si="253"/>
        <v>-135.73235014763091</v>
      </c>
      <c r="N86" s="288"/>
      <c r="O86" s="292">
        <f t="shared" ref="O86:P86" ca="1" si="254">L86</f>
        <v>48396</v>
      </c>
      <c r="P86" s="293">
        <f t="shared" si="254"/>
        <v>-135.73235014763091</v>
      </c>
    </row>
    <row r="87" spans="2:16" ht="15.75" customHeight="1">
      <c r="B87" s="288"/>
      <c r="C87" s="288"/>
      <c r="D87" s="288"/>
      <c r="E87" s="289">
        <f t="shared" si="41"/>
        <v>6</v>
      </c>
      <c r="F87" s="292">
        <f t="shared" ca="1" si="6"/>
        <v>48427</v>
      </c>
      <c r="G87" s="293">
        <f>VLOOKUP(E87+1,'Cashflow Details'!$1:$1005,123)/12</f>
        <v>-135.73235014763091</v>
      </c>
      <c r="H87" s="288"/>
      <c r="I87" s="292">
        <f t="shared" ref="I87:J87" ca="1" si="255">F87</f>
        <v>48427</v>
      </c>
      <c r="J87" s="293">
        <f t="shared" si="255"/>
        <v>-135.73235014763091</v>
      </c>
      <c r="K87" s="288"/>
      <c r="L87" s="292">
        <f t="shared" ref="L87:M87" ca="1" si="256">I87</f>
        <v>48427</v>
      </c>
      <c r="M87" s="293">
        <f t="shared" si="256"/>
        <v>-135.73235014763091</v>
      </c>
      <c r="N87" s="288"/>
      <c r="O87" s="292">
        <f t="shared" ref="O87:P87" ca="1" si="257">L87</f>
        <v>48427</v>
      </c>
      <c r="P87" s="293">
        <f t="shared" si="257"/>
        <v>-135.73235014763091</v>
      </c>
    </row>
    <row r="88" spans="2:16" ht="15.75" customHeight="1">
      <c r="B88" s="288"/>
      <c r="C88" s="288"/>
      <c r="D88" s="288"/>
      <c r="E88" s="289">
        <f t="shared" si="41"/>
        <v>7</v>
      </c>
      <c r="F88" s="292">
        <f t="shared" ca="1" si="6"/>
        <v>48458</v>
      </c>
      <c r="G88" s="293">
        <f>VLOOKUP(E88+1,'Cashflow Details'!$1:$1005,123)/12</f>
        <v>-131.70699715058376</v>
      </c>
      <c r="H88" s="288"/>
      <c r="I88" s="292">
        <f t="shared" ref="I88:J88" ca="1" si="258">F88</f>
        <v>48458</v>
      </c>
      <c r="J88" s="293">
        <f t="shared" si="258"/>
        <v>-131.70699715058376</v>
      </c>
      <c r="K88" s="288"/>
      <c r="L88" s="292">
        <f t="shared" ref="L88:M88" ca="1" si="259">I88</f>
        <v>48458</v>
      </c>
      <c r="M88" s="293">
        <f t="shared" si="259"/>
        <v>-131.70699715058376</v>
      </c>
      <c r="N88" s="288"/>
      <c r="O88" s="292">
        <f t="shared" ref="O88:P88" ca="1" si="260">L88</f>
        <v>48458</v>
      </c>
      <c r="P88" s="293">
        <f t="shared" si="260"/>
        <v>-131.70699715058376</v>
      </c>
    </row>
    <row r="89" spans="2:16" ht="15.75" customHeight="1">
      <c r="B89" s="288"/>
      <c r="C89" s="288"/>
      <c r="D89" s="288"/>
      <c r="E89" s="289">
        <f t="shared" si="41"/>
        <v>7</v>
      </c>
      <c r="F89" s="292">
        <f t="shared" ca="1" si="6"/>
        <v>48488</v>
      </c>
      <c r="G89" s="293">
        <f>VLOOKUP(E89+1,'Cashflow Details'!$1:$1005,123)/12</f>
        <v>-131.70699715058376</v>
      </c>
      <c r="H89" s="288"/>
      <c r="I89" s="292">
        <f t="shared" ref="I89:J89" ca="1" si="261">F89</f>
        <v>48488</v>
      </c>
      <c r="J89" s="293">
        <f t="shared" si="261"/>
        <v>-131.70699715058376</v>
      </c>
      <c r="K89" s="288"/>
      <c r="L89" s="292">
        <f t="shared" ref="L89:M89" ca="1" si="262">I89</f>
        <v>48488</v>
      </c>
      <c r="M89" s="293">
        <f t="shared" si="262"/>
        <v>-131.70699715058376</v>
      </c>
      <c r="N89" s="288"/>
      <c r="O89" s="292">
        <f t="shared" ref="O89:P89" ca="1" si="263">L89</f>
        <v>48488</v>
      </c>
      <c r="P89" s="293">
        <f t="shared" si="263"/>
        <v>-131.70699715058376</v>
      </c>
    </row>
    <row r="90" spans="2:16" ht="15.75" customHeight="1">
      <c r="B90" s="288"/>
      <c r="C90" s="288"/>
      <c r="D90" s="288"/>
      <c r="E90" s="289">
        <f t="shared" si="41"/>
        <v>7</v>
      </c>
      <c r="F90" s="292">
        <f t="shared" ca="1" si="6"/>
        <v>48519</v>
      </c>
      <c r="G90" s="293">
        <f>VLOOKUP(E90+1,'Cashflow Details'!$1:$1005,123)/12</f>
        <v>-131.70699715058376</v>
      </c>
      <c r="H90" s="288"/>
      <c r="I90" s="292">
        <f t="shared" ref="I90:J90" ca="1" si="264">F90</f>
        <v>48519</v>
      </c>
      <c r="J90" s="293">
        <f t="shared" si="264"/>
        <v>-131.70699715058376</v>
      </c>
      <c r="K90" s="288"/>
      <c r="L90" s="292">
        <f t="shared" ref="L90:M90" ca="1" si="265">I90</f>
        <v>48519</v>
      </c>
      <c r="M90" s="293">
        <f t="shared" si="265"/>
        <v>-131.70699715058376</v>
      </c>
      <c r="N90" s="288"/>
      <c r="O90" s="292">
        <f t="shared" ref="O90:P90" ca="1" si="266">L90</f>
        <v>48519</v>
      </c>
      <c r="P90" s="293">
        <f t="shared" si="266"/>
        <v>-131.70699715058376</v>
      </c>
    </row>
    <row r="91" spans="2:16" ht="15.75" customHeight="1">
      <c r="B91" s="288"/>
      <c r="C91" s="288"/>
      <c r="D91" s="288"/>
      <c r="E91" s="289">
        <f t="shared" si="41"/>
        <v>7</v>
      </c>
      <c r="F91" s="292">
        <f t="shared" ca="1" si="6"/>
        <v>48549</v>
      </c>
      <c r="G91" s="293">
        <f>VLOOKUP(E91+1,'Cashflow Details'!$1:$1005,123)/12</f>
        <v>-131.70699715058376</v>
      </c>
      <c r="H91" s="288"/>
      <c r="I91" s="292">
        <f t="shared" ref="I91:J91" ca="1" si="267">F91</f>
        <v>48549</v>
      </c>
      <c r="J91" s="293">
        <f t="shared" si="267"/>
        <v>-131.70699715058376</v>
      </c>
      <c r="K91" s="288"/>
      <c r="L91" s="292">
        <f t="shared" ref="L91:M91" ca="1" si="268">I91</f>
        <v>48549</v>
      </c>
      <c r="M91" s="293">
        <f t="shared" si="268"/>
        <v>-131.70699715058376</v>
      </c>
      <c r="N91" s="288"/>
      <c r="O91" s="292">
        <f t="shared" ref="O91:P91" ca="1" si="269">L91</f>
        <v>48549</v>
      </c>
      <c r="P91" s="293">
        <f t="shared" si="269"/>
        <v>-131.70699715058376</v>
      </c>
    </row>
    <row r="92" spans="2:16" ht="15.75" customHeight="1">
      <c r="B92" s="288"/>
      <c r="C92" s="288"/>
      <c r="D92" s="288"/>
      <c r="E92" s="289">
        <f t="shared" si="41"/>
        <v>7</v>
      </c>
      <c r="F92" s="292">
        <f t="shared" ca="1" si="6"/>
        <v>48580</v>
      </c>
      <c r="G92" s="293">
        <f>VLOOKUP(E92+1,'Cashflow Details'!$1:$1005,123)/12</f>
        <v>-131.70699715058376</v>
      </c>
      <c r="H92" s="288"/>
      <c r="I92" s="292">
        <f t="shared" ref="I92:J92" ca="1" si="270">F92</f>
        <v>48580</v>
      </c>
      <c r="J92" s="293">
        <f t="shared" si="270"/>
        <v>-131.70699715058376</v>
      </c>
      <c r="K92" s="288"/>
      <c r="L92" s="292">
        <f t="shared" ref="L92:M92" ca="1" si="271">I92</f>
        <v>48580</v>
      </c>
      <c r="M92" s="293">
        <f t="shared" si="271"/>
        <v>-131.70699715058376</v>
      </c>
      <c r="N92" s="288"/>
      <c r="O92" s="292">
        <f t="shared" ref="O92:P92" ca="1" si="272">L92</f>
        <v>48580</v>
      </c>
      <c r="P92" s="293">
        <f t="shared" si="272"/>
        <v>-131.70699715058376</v>
      </c>
    </row>
    <row r="93" spans="2:16" ht="15.75" customHeight="1">
      <c r="B93" s="288"/>
      <c r="C93" s="288"/>
      <c r="D93" s="288"/>
      <c r="E93" s="289">
        <f t="shared" si="41"/>
        <v>7</v>
      </c>
      <c r="F93" s="292">
        <f t="shared" ca="1" si="6"/>
        <v>48611</v>
      </c>
      <c r="G93" s="293">
        <f>VLOOKUP(E93+1,'Cashflow Details'!$1:$1005,123)/12</f>
        <v>-131.70699715058376</v>
      </c>
      <c r="H93" s="288"/>
      <c r="I93" s="292">
        <f t="shared" ref="I93:J93" ca="1" si="273">F93</f>
        <v>48611</v>
      </c>
      <c r="J93" s="293">
        <f t="shared" si="273"/>
        <v>-131.70699715058376</v>
      </c>
      <c r="K93" s="288"/>
      <c r="L93" s="292">
        <f t="shared" ref="L93:M93" ca="1" si="274">I93</f>
        <v>48611</v>
      </c>
      <c r="M93" s="293">
        <f t="shared" si="274"/>
        <v>-131.70699715058376</v>
      </c>
      <c r="N93" s="288"/>
      <c r="O93" s="292">
        <f t="shared" ref="O93:P93" ca="1" si="275">L93</f>
        <v>48611</v>
      </c>
      <c r="P93" s="293">
        <f t="shared" si="275"/>
        <v>-131.70699715058376</v>
      </c>
    </row>
    <row r="94" spans="2:16" ht="15.75" customHeight="1">
      <c r="B94" s="288"/>
      <c r="C94" s="288"/>
      <c r="D94" s="288"/>
      <c r="E94" s="289">
        <f t="shared" si="41"/>
        <v>7</v>
      </c>
      <c r="F94" s="292">
        <f t="shared" ca="1" si="6"/>
        <v>48639</v>
      </c>
      <c r="G94" s="293">
        <f>VLOOKUP(E94+1,'Cashflow Details'!$1:$1005,123)/12</f>
        <v>-131.70699715058376</v>
      </c>
      <c r="H94" s="288"/>
      <c r="I94" s="292">
        <f t="shared" ref="I94:J94" ca="1" si="276">F94</f>
        <v>48639</v>
      </c>
      <c r="J94" s="293">
        <f t="shared" si="276"/>
        <v>-131.70699715058376</v>
      </c>
      <c r="K94" s="288"/>
      <c r="L94" s="292">
        <f t="shared" ref="L94:M94" ca="1" si="277">I94</f>
        <v>48639</v>
      </c>
      <c r="M94" s="293">
        <f t="shared" si="277"/>
        <v>-131.70699715058376</v>
      </c>
      <c r="N94" s="288"/>
      <c r="O94" s="292">
        <f t="shared" ref="O94:P94" ca="1" si="278">L94</f>
        <v>48639</v>
      </c>
      <c r="P94" s="293">
        <f t="shared" si="278"/>
        <v>-131.70699715058376</v>
      </c>
    </row>
    <row r="95" spans="2:16" ht="15.75" customHeight="1">
      <c r="B95" s="288"/>
      <c r="C95" s="288"/>
      <c r="D95" s="288"/>
      <c r="E95" s="289">
        <f t="shared" si="41"/>
        <v>7</v>
      </c>
      <c r="F95" s="292">
        <f t="shared" ca="1" si="6"/>
        <v>48670</v>
      </c>
      <c r="G95" s="293">
        <f>VLOOKUP(E95+1,'Cashflow Details'!$1:$1005,123)/12</f>
        <v>-131.70699715058376</v>
      </c>
      <c r="H95" s="288"/>
      <c r="I95" s="292">
        <f t="shared" ref="I95:J95" ca="1" si="279">F95</f>
        <v>48670</v>
      </c>
      <c r="J95" s="293">
        <f t="shared" si="279"/>
        <v>-131.70699715058376</v>
      </c>
      <c r="K95" s="288"/>
      <c r="L95" s="292">
        <f t="shared" ref="L95:M95" ca="1" si="280">I95</f>
        <v>48670</v>
      </c>
      <c r="M95" s="293">
        <f t="shared" si="280"/>
        <v>-131.70699715058376</v>
      </c>
      <c r="N95" s="288"/>
      <c r="O95" s="292">
        <f t="shared" ref="O95:P95" ca="1" si="281">L95</f>
        <v>48670</v>
      </c>
      <c r="P95" s="293">
        <f t="shared" si="281"/>
        <v>-131.70699715058376</v>
      </c>
    </row>
    <row r="96" spans="2:16" ht="15.75" customHeight="1">
      <c r="B96" s="288"/>
      <c r="C96" s="288"/>
      <c r="D96" s="288"/>
      <c r="E96" s="289">
        <f t="shared" si="41"/>
        <v>7</v>
      </c>
      <c r="F96" s="292">
        <f t="shared" ca="1" si="6"/>
        <v>48700</v>
      </c>
      <c r="G96" s="293">
        <f>VLOOKUP(E96+1,'Cashflow Details'!$1:$1005,123)/12</f>
        <v>-131.70699715058376</v>
      </c>
      <c r="H96" s="288"/>
      <c r="I96" s="292">
        <f t="shared" ref="I96:J96" ca="1" si="282">F96</f>
        <v>48700</v>
      </c>
      <c r="J96" s="293">
        <f t="shared" si="282"/>
        <v>-131.70699715058376</v>
      </c>
      <c r="K96" s="288"/>
      <c r="L96" s="292">
        <f t="shared" ref="L96:M96" ca="1" si="283">I96</f>
        <v>48700</v>
      </c>
      <c r="M96" s="293">
        <f t="shared" si="283"/>
        <v>-131.70699715058376</v>
      </c>
      <c r="N96" s="288"/>
      <c r="O96" s="292">
        <f t="shared" ref="O96:P96" ca="1" si="284">L96</f>
        <v>48700</v>
      </c>
      <c r="P96" s="293">
        <f t="shared" si="284"/>
        <v>-131.70699715058376</v>
      </c>
    </row>
    <row r="97" spans="2:16" ht="15.75" customHeight="1">
      <c r="B97" s="288"/>
      <c r="C97" s="288"/>
      <c r="D97" s="288"/>
      <c r="E97" s="289">
        <f t="shared" si="41"/>
        <v>7</v>
      </c>
      <c r="F97" s="292">
        <f t="shared" ca="1" si="6"/>
        <v>48731</v>
      </c>
      <c r="G97" s="293">
        <f>VLOOKUP(E97+1,'Cashflow Details'!$1:$1005,123)/12</f>
        <v>-131.70699715058376</v>
      </c>
      <c r="H97" s="288"/>
      <c r="I97" s="292">
        <f t="shared" ref="I97:J97" ca="1" si="285">F97</f>
        <v>48731</v>
      </c>
      <c r="J97" s="293">
        <f t="shared" si="285"/>
        <v>-131.70699715058376</v>
      </c>
      <c r="K97" s="288"/>
      <c r="L97" s="292">
        <f t="shared" ref="L97:M97" ca="1" si="286">I97</f>
        <v>48731</v>
      </c>
      <c r="M97" s="293">
        <f t="shared" si="286"/>
        <v>-131.70699715058376</v>
      </c>
      <c r="N97" s="288"/>
      <c r="O97" s="292">
        <f t="shared" ref="O97:P97" ca="1" si="287">L97</f>
        <v>48731</v>
      </c>
      <c r="P97" s="293">
        <f t="shared" si="287"/>
        <v>-131.70699715058376</v>
      </c>
    </row>
    <row r="98" spans="2:16" ht="15.75" customHeight="1">
      <c r="B98" s="288"/>
      <c r="C98" s="288"/>
      <c r="D98" s="288"/>
      <c r="E98" s="289">
        <f t="shared" si="41"/>
        <v>7</v>
      </c>
      <c r="F98" s="292">
        <f t="shared" ca="1" si="6"/>
        <v>48761</v>
      </c>
      <c r="G98" s="293">
        <f>VLOOKUP(E98+1,'Cashflow Details'!$1:$1005,123)/12</f>
        <v>-131.70699715058376</v>
      </c>
      <c r="H98" s="288"/>
      <c r="I98" s="292">
        <f t="shared" ref="I98:J98" ca="1" si="288">F98</f>
        <v>48761</v>
      </c>
      <c r="J98" s="293">
        <f t="shared" si="288"/>
        <v>-131.70699715058376</v>
      </c>
      <c r="K98" s="288"/>
      <c r="L98" s="292">
        <f t="shared" ref="L98:M98" ca="1" si="289">I98</f>
        <v>48761</v>
      </c>
      <c r="M98" s="293">
        <f t="shared" si="289"/>
        <v>-131.70699715058376</v>
      </c>
      <c r="N98" s="288"/>
      <c r="O98" s="292">
        <f t="shared" ref="O98:P98" ca="1" si="290">L98</f>
        <v>48761</v>
      </c>
      <c r="P98" s="293">
        <f t="shared" si="290"/>
        <v>-131.70699715058376</v>
      </c>
    </row>
    <row r="99" spans="2:16" ht="15.75" customHeight="1">
      <c r="B99" s="288"/>
      <c r="C99" s="288"/>
      <c r="D99" s="288"/>
      <c r="E99" s="289">
        <f t="shared" si="41"/>
        <v>7</v>
      </c>
      <c r="F99" s="292">
        <f t="shared" ca="1" si="6"/>
        <v>48792</v>
      </c>
      <c r="G99" s="293">
        <f>VLOOKUP(E99+1,'Cashflow Details'!$1:$1005,123)/12</f>
        <v>-131.70699715058376</v>
      </c>
      <c r="H99" s="288"/>
      <c r="I99" s="292">
        <f t="shared" ref="I99:J99" ca="1" si="291">F99</f>
        <v>48792</v>
      </c>
      <c r="J99" s="293">
        <f t="shared" si="291"/>
        <v>-131.70699715058376</v>
      </c>
      <c r="K99" s="288"/>
      <c r="L99" s="292">
        <f t="shared" ref="L99:M99" ca="1" si="292">I99</f>
        <v>48792</v>
      </c>
      <c r="M99" s="293">
        <f t="shared" si="292"/>
        <v>-131.70699715058376</v>
      </c>
      <c r="N99" s="288"/>
      <c r="O99" s="292">
        <f t="shared" ref="O99:P99" ca="1" si="293">L99</f>
        <v>48792</v>
      </c>
      <c r="P99" s="293">
        <f t="shared" si="293"/>
        <v>-131.70699715058376</v>
      </c>
    </row>
    <row r="100" spans="2:16" ht="15.75" customHeight="1">
      <c r="B100" s="288"/>
      <c r="C100" s="288"/>
      <c r="D100" s="288"/>
      <c r="E100" s="289">
        <f t="shared" si="41"/>
        <v>8</v>
      </c>
      <c r="F100" s="292">
        <f t="shared" ca="1" si="6"/>
        <v>48823</v>
      </c>
      <c r="G100" s="293">
        <f>VLOOKUP(E100+1,'Cashflow Details'!$1:$1005,123)/12</f>
        <v>-127.65613709359543</v>
      </c>
      <c r="H100" s="288"/>
      <c r="I100" s="292">
        <f t="shared" ref="I100:J100" ca="1" si="294">F100</f>
        <v>48823</v>
      </c>
      <c r="J100" s="293">
        <f t="shared" si="294"/>
        <v>-127.65613709359543</v>
      </c>
      <c r="K100" s="288"/>
      <c r="L100" s="292">
        <f t="shared" ref="L100:M100" ca="1" si="295">I100</f>
        <v>48823</v>
      </c>
      <c r="M100" s="293">
        <f t="shared" si="295"/>
        <v>-127.65613709359543</v>
      </c>
      <c r="N100" s="288"/>
      <c r="O100" s="292">
        <f t="shared" ref="O100:P100" ca="1" si="296">L100</f>
        <v>48823</v>
      </c>
      <c r="P100" s="293">
        <f t="shared" si="296"/>
        <v>-127.65613709359543</v>
      </c>
    </row>
    <row r="101" spans="2:16" ht="15.75" customHeight="1">
      <c r="B101" s="288"/>
      <c r="C101" s="288"/>
      <c r="D101" s="288"/>
      <c r="E101" s="289">
        <f t="shared" si="41"/>
        <v>8</v>
      </c>
      <c r="F101" s="292">
        <f t="shared" ca="1" si="6"/>
        <v>48853</v>
      </c>
      <c r="G101" s="293">
        <f>VLOOKUP(E101+1,'Cashflow Details'!$1:$1005,123)/12</f>
        <v>-127.65613709359543</v>
      </c>
      <c r="H101" s="288"/>
      <c r="I101" s="292">
        <f t="shared" ref="I101:J101" ca="1" si="297">F101</f>
        <v>48853</v>
      </c>
      <c r="J101" s="293">
        <f t="shared" si="297"/>
        <v>-127.65613709359543</v>
      </c>
      <c r="K101" s="288"/>
      <c r="L101" s="292">
        <f t="shared" ref="L101:M101" ca="1" si="298">I101</f>
        <v>48853</v>
      </c>
      <c r="M101" s="293">
        <f t="shared" si="298"/>
        <v>-127.65613709359543</v>
      </c>
      <c r="N101" s="288"/>
      <c r="O101" s="292">
        <f t="shared" ref="O101:P101" ca="1" si="299">L101</f>
        <v>48853</v>
      </c>
      <c r="P101" s="293">
        <f t="shared" si="299"/>
        <v>-127.65613709359543</v>
      </c>
    </row>
    <row r="102" spans="2:16" ht="15.75" customHeight="1">
      <c r="B102" s="288"/>
      <c r="C102" s="288"/>
      <c r="D102" s="288"/>
      <c r="E102" s="289">
        <f t="shared" si="41"/>
        <v>8</v>
      </c>
      <c r="F102" s="292">
        <f t="shared" ca="1" si="6"/>
        <v>48884</v>
      </c>
      <c r="G102" s="293">
        <f>VLOOKUP(E102+1,'Cashflow Details'!$1:$1005,123)/12</f>
        <v>-127.65613709359543</v>
      </c>
      <c r="H102" s="288"/>
      <c r="I102" s="292">
        <f t="shared" ref="I102:J102" ca="1" si="300">F102</f>
        <v>48884</v>
      </c>
      <c r="J102" s="293">
        <f t="shared" si="300"/>
        <v>-127.65613709359543</v>
      </c>
      <c r="K102" s="288"/>
      <c r="L102" s="292">
        <f t="shared" ref="L102:M102" ca="1" si="301">I102</f>
        <v>48884</v>
      </c>
      <c r="M102" s="293">
        <f t="shared" si="301"/>
        <v>-127.65613709359543</v>
      </c>
      <c r="N102" s="288"/>
      <c r="O102" s="292">
        <f t="shared" ref="O102:P102" ca="1" si="302">L102</f>
        <v>48884</v>
      </c>
      <c r="P102" s="293">
        <f t="shared" si="302"/>
        <v>-127.65613709359543</v>
      </c>
    </row>
    <row r="103" spans="2:16" ht="15.75" customHeight="1">
      <c r="B103" s="288"/>
      <c r="C103" s="288"/>
      <c r="D103" s="288"/>
      <c r="E103" s="289">
        <f t="shared" si="41"/>
        <v>8</v>
      </c>
      <c r="F103" s="292">
        <f t="shared" ca="1" si="6"/>
        <v>48914</v>
      </c>
      <c r="G103" s="293">
        <f>VLOOKUP(E103+1,'Cashflow Details'!$1:$1005,123)/12</f>
        <v>-127.65613709359543</v>
      </c>
      <c r="H103" s="288"/>
      <c r="I103" s="292">
        <f t="shared" ref="I103:J103" ca="1" si="303">F103</f>
        <v>48914</v>
      </c>
      <c r="J103" s="293">
        <f t="shared" si="303"/>
        <v>-127.65613709359543</v>
      </c>
      <c r="K103" s="288"/>
      <c r="L103" s="292">
        <f t="shared" ref="L103:M103" ca="1" si="304">I103</f>
        <v>48914</v>
      </c>
      <c r="M103" s="293">
        <f t="shared" si="304"/>
        <v>-127.65613709359543</v>
      </c>
      <c r="N103" s="288"/>
      <c r="O103" s="292">
        <f t="shared" ref="O103:P103" ca="1" si="305">L103</f>
        <v>48914</v>
      </c>
      <c r="P103" s="293">
        <f t="shared" si="305"/>
        <v>-127.65613709359543</v>
      </c>
    </row>
    <row r="104" spans="2:16" ht="15.75" customHeight="1">
      <c r="B104" s="288"/>
      <c r="C104" s="288"/>
      <c r="D104" s="288"/>
      <c r="E104" s="289">
        <f t="shared" si="41"/>
        <v>8</v>
      </c>
      <c r="F104" s="292">
        <f t="shared" ca="1" si="6"/>
        <v>48945</v>
      </c>
      <c r="G104" s="293">
        <f>VLOOKUP(E104+1,'Cashflow Details'!$1:$1005,123)/12</f>
        <v>-127.65613709359543</v>
      </c>
      <c r="H104" s="288"/>
      <c r="I104" s="292">
        <f t="shared" ref="I104:J104" ca="1" si="306">F104</f>
        <v>48945</v>
      </c>
      <c r="J104" s="293">
        <f t="shared" si="306"/>
        <v>-127.65613709359543</v>
      </c>
      <c r="K104" s="288"/>
      <c r="L104" s="292">
        <f t="shared" ref="L104:M104" ca="1" si="307">I104</f>
        <v>48945</v>
      </c>
      <c r="M104" s="293">
        <f t="shared" si="307"/>
        <v>-127.65613709359543</v>
      </c>
      <c r="N104" s="288"/>
      <c r="O104" s="292">
        <f t="shared" ref="O104:P104" ca="1" si="308">L104</f>
        <v>48945</v>
      </c>
      <c r="P104" s="293">
        <f t="shared" si="308"/>
        <v>-127.65613709359543</v>
      </c>
    </row>
    <row r="105" spans="2:16" ht="15.75" customHeight="1">
      <c r="B105" s="288"/>
      <c r="C105" s="288"/>
      <c r="D105" s="288"/>
      <c r="E105" s="289">
        <f t="shared" si="41"/>
        <v>8</v>
      </c>
      <c r="F105" s="292">
        <f t="shared" ca="1" si="6"/>
        <v>48976</v>
      </c>
      <c r="G105" s="293">
        <f>VLOOKUP(E105+1,'Cashflow Details'!$1:$1005,123)/12</f>
        <v>-127.65613709359543</v>
      </c>
      <c r="H105" s="288"/>
      <c r="I105" s="292">
        <f t="shared" ref="I105:J105" ca="1" si="309">F105</f>
        <v>48976</v>
      </c>
      <c r="J105" s="293">
        <f t="shared" si="309"/>
        <v>-127.65613709359543</v>
      </c>
      <c r="K105" s="288"/>
      <c r="L105" s="292">
        <f t="shared" ref="L105:M105" ca="1" si="310">I105</f>
        <v>48976</v>
      </c>
      <c r="M105" s="293">
        <f t="shared" si="310"/>
        <v>-127.65613709359543</v>
      </c>
      <c r="N105" s="288"/>
      <c r="O105" s="292">
        <f t="shared" ref="O105:P105" ca="1" si="311">L105</f>
        <v>48976</v>
      </c>
      <c r="P105" s="293">
        <f t="shared" si="311"/>
        <v>-127.65613709359543</v>
      </c>
    </row>
    <row r="106" spans="2:16" ht="15.75" customHeight="1">
      <c r="B106" s="288"/>
      <c r="C106" s="288"/>
      <c r="D106" s="288"/>
      <c r="E106" s="289">
        <f t="shared" si="41"/>
        <v>8</v>
      </c>
      <c r="F106" s="292">
        <f t="shared" ca="1" si="6"/>
        <v>49004</v>
      </c>
      <c r="G106" s="293">
        <f>VLOOKUP(E106+1,'Cashflow Details'!$1:$1005,123)/12</f>
        <v>-127.65613709359543</v>
      </c>
      <c r="H106" s="288"/>
      <c r="I106" s="292">
        <f t="shared" ref="I106:J106" ca="1" si="312">F106</f>
        <v>49004</v>
      </c>
      <c r="J106" s="293">
        <f t="shared" si="312"/>
        <v>-127.65613709359543</v>
      </c>
      <c r="K106" s="288"/>
      <c r="L106" s="292">
        <f t="shared" ref="L106:M106" ca="1" si="313">I106</f>
        <v>49004</v>
      </c>
      <c r="M106" s="293">
        <f t="shared" si="313"/>
        <v>-127.65613709359543</v>
      </c>
      <c r="N106" s="288"/>
      <c r="O106" s="292">
        <f t="shared" ref="O106:P106" ca="1" si="314">L106</f>
        <v>49004</v>
      </c>
      <c r="P106" s="293">
        <f t="shared" si="314"/>
        <v>-127.65613709359543</v>
      </c>
    </row>
    <row r="107" spans="2:16" ht="15.75" customHeight="1">
      <c r="B107" s="288"/>
      <c r="C107" s="288"/>
      <c r="D107" s="288"/>
      <c r="E107" s="289">
        <f t="shared" si="41"/>
        <v>8</v>
      </c>
      <c r="F107" s="292">
        <f t="shared" ca="1" si="6"/>
        <v>49035</v>
      </c>
      <c r="G107" s="293">
        <f>VLOOKUP(E107+1,'Cashflow Details'!$1:$1005,123)/12</f>
        <v>-127.65613709359543</v>
      </c>
      <c r="H107" s="288"/>
      <c r="I107" s="292">
        <f t="shared" ref="I107:J107" ca="1" si="315">F107</f>
        <v>49035</v>
      </c>
      <c r="J107" s="293">
        <f t="shared" si="315"/>
        <v>-127.65613709359543</v>
      </c>
      <c r="K107" s="288"/>
      <c r="L107" s="292">
        <f t="shared" ref="L107:M107" ca="1" si="316">I107</f>
        <v>49035</v>
      </c>
      <c r="M107" s="293">
        <f t="shared" si="316"/>
        <v>-127.65613709359543</v>
      </c>
      <c r="N107" s="288"/>
      <c r="O107" s="292">
        <f t="shared" ref="O107:P107" ca="1" si="317">L107</f>
        <v>49035</v>
      </c>
      <c r="P107" s="293">
        <f t="shared" si="317"/>
        <v>-127.65613709359543</v>
      </c>
    </row>
    <row r="108" spans="2:16" ht="15.75" customHeight="1">
      <c r="B108" s="288"/>
      <c r="C108" s="288"/>
      <c r="D108" s="288"/>
      <c r="E108" s="289">
        <f t="shared" si="41"/>
        <v>8</v>
      </c>
      <c r="F108" s="292">
        <f t="shared" ca="1" si="6"/>
        <v>49065</v>
      </c>
      <c r="G108" s="293">
        <f>VLOOKUP(E108+1,'Cashflow Details'!$1:$1005,123)/12</f>
        <v>-127.65613709359543</v>
      </c>
      <c r="H108" s="288"/>
      <c r="I108" s="292">
        <f t="shared" ref="I108:J108" ca="1" si="318">F108</f>
        <v>49065</v>
      </c>
      <c r="J108" s="293">
        <f t="shared" si="318"/>
        <v>-127.65613709359543</v>
      </c>
      <c r="K108" s="288"/>
      <c r="L108" s="292">
        <f t="shared" ref="L108:M108" ca="1" si="319">I108</f>
        <v>49065</v>
      </c>
      <c r="M108" s="293">
        <f t="shared" si="319"/>
        <v>-127.65613709359543</v>
      </c>
      <c r="N108" s="288"/>
      <c r="O108" s="292">
        <f t="shared" ref="O108:P108" ca="1" si="320">L108</f>
        <v>49065</v>
      </c>
      <c r="P108" s="293">
        <f t="shared" si="320"/>
        <v>-127.65613709359543</v>
      </c>
    </row>
    <row r="109" spans="2:16" ht="15.75" customHeight="1">
      <c r="B109" s="288"/>
      <c r="C109" s="288"/>
      <c r="D109" s="288"/>
      <c r="E109" s="289">
        <f t="shared" si="41"/>
        <v>8</v>
      </c>
      <c r="F109" s="292">
        <f t="shared" ca="1" si="6"/>
        <v>49096</v>
      </c>
      <c r="G109" s="293">
        <f>VLOOKUP(E109+1,'Cashflow Details'!$1:$1005,123)/12</f>
        <v>-127.65613709359543</v>
      </c>
      <c r="H109" s="288"/>
      <c r="I109" s="292">
        <f t="shared" ref="I109:J109" ca="1" si="321">F109</f>
        <v>49096</v>
      </c>
      <c r="J109" s="293">
        <f t="shared" si="321"/>
        <v>-127.65613709359543</v>
      </c>
      <c r="K109" s="288"/>
      <c r="L109" s="292">
        <f t="shared" ref="L109:M109" ca="1" si="322">I109</f>
        <v>49096</v>
      </c>
      <c r="M109" s="293">
        <f t="shared" si="322"/>
        <v>-127.65613709359543</v>
      </c>
      <c r="N109" s="288"/>
      <c r="O109" s="292">
        <f t="shared" ref="O109:P109" ca="1" si="323">L109</f>
        <v>49096</v>
      </c>
      <c r="P109" s="293">
        <f t="shared" si="323"/>
        <v>-127.65613709359543</v>
      </c>
    </row>
    <row r="110" spans="2:16" ht="15.75" customHeight="1">
      <c r="B110" s="288"/>
      <c r="C110" s="288"/>
      <c r="D110" s="288"/>
      <c r="E110" s="289">
        <f t="shared" si="41"/>
        <v>8</v>
      </c>
      <c r="F110" s="292">
        <f t="shared" ca="1" si="6"/>
        <v>49126</v>
      </c>
      <c r="G110" s="293">
        <f>VLOOKUP(E110+1,'Cashflow Details'!$1:$1005,123)/12</f>
        <v>-127.65613709359543</v>
      </c>
      <c r="H110" s="288"/>
      <c r="I110" s="292">
        <f t="shared" ref="I110:J110" ca="1" si="324">F110</f>
        <v>49126</v>
      </c>
      <c r="J110" s="293">
        <f t="shared" si="324"/>
        <v>-127.65613709359543</v>
      </c>
      <c r="K110" s="288"/>
      <c r="L110" s="292">
        <f t="shared" ref="L110:M110" ca="1" si="325">I110</f>
        <v>49126</v>
      </c>
      <c r="M110" s="293">
        <f t="shared" si="325"/>
        <v>-127.65613709359543</v>
      </c>
      <c r="N110" s="288"/>
      <c r="O110" s="292">
        <f t="shared" ref="O110:P110" ca="1" si="326">L110</f>
        <v>49126</v>
      </c>
      <c r="P110" s="293">
        <f t="shared" si="326"/>
        <v>-127.65613709359543</v>
      </c>
    </row>
    <row r="111" spans="2:16" ht="15.75" customHeight="1">
      <c r="B111" s="288"/>
      <c r="C111" s="288"/>
      <c r="D111" s="288"/>
      <c r="E111" s="289">
        <f t="shared" si="41"/>
        <v>8</v>
      </c>
      <c r="F111" s="292">
        <f t="shared" ca="1" si="6"/>
        <v>49157</v>
      </c>
      <c r="G111" s="293">
        <f>VLOOKUP(E111+1,'Cashflow Details'!$1:$1005,123)/12</f>
        <v>-127.65613709359543</v>
      </c>
      <c r="H111" s="288"/>
      <c r="I111" s="292">
        <f t="shared" ref="I111:J111" ca="1" si="327">F111</f>
        <v>49157</v>
      </c>
      <c r="J111" s="293">
        <f t="shared" si="327"/>
        <v>-127.65613709359543</v>
      </c>
      <c r="K111" s="288"/>
      <c r="L111" s="292">
        <f t="shared" ref="L111:M111" ca="1" si="328">I111</f>
        <v>49157</v>
      </c>
      <c r="M111" s="293">
        <f t="shared" si="328"/>
        <v>-127.65613709359543</v>
      </c>
      <c r="N111" s="288"/>
      <c r="O111" s="292">
        <f t="shared" ref="O111:P111" ca="1" si="329">L111</f>
        <v>49157</v>
      </c>
      <c r="P111" s="293">
        <f t="shared" si="329"/>
        <v>-127.65613709359543</v>
      </c>
    </row>
    <row r="112" spans="2:16" ht="15.75" customHeight="1">
      <c r="B112" s="288"/>
      <c r="C112" s="288"/>
      <c r="D112" s="288"/>
      <c r="E112" s="289">
        <f t="shared" si="41"/>
        <v>9</v>
      </c>
      <c r="F112" s="292">
        <f t="shared" ca="1" si="6"/>
        <v>49188</v>
      </c>
      <c r="G112" s="293">
        <f>VLOOKUP(E112+1,'Cashflow Details'!$1:$1005,123)/12</f>
        <v>-123.48925983546739</v>
      </c>
      <c r="H112" s="288"/>
      <c r="I112" s="292">
        <f t="shared" ref="I112:J112" ca="1" si="330">F112</f>
        <v>49188</v>
      </c>
      <c r="J112" s="293">
        <f t="shared" si="330"/>
        <v>-123.48925983546739</v>
      </c>
      <c r="K112" s="288"/>
      <c r="L112" s="292">
        <f t="shared" ref="L112:M112" ca="1" si="331">I112</f>
        <v>49188</v>
      </c>
      <c r="M112" s="293">
        <f t="shared" si="331"/>
        <v>-123.48925983546739</v>
      </c>
      <c r="N112" s="288"/>
      <c r="O112" s="292">
        <f t="shared" ref="O112:P112" ca="1" si="332">L112</f>
        <v>49188</v>
      </c>
      <c r="P112" s="293">
        <f t="shared" si="332"/>
        <v>-123.48925983546739</v>
      </c>
    </row>
    <row r="113" spans="2:16" ht="15.75" customHeight="1">
      <c r="B113" s="288"/>
      <c r="C113" s="288"/>
      <c r="D113" s="288"/>
      <c r="E113" s="289">
        <f t="shared" si="41"/>
        <v>9</v>
      </c>
      <c r="F113" s="292">
        <f t="shared" ca="1" si="6"/>
        <v>49218</v>
      </c>
      <c r="G113" s="293">
        <f>VLOOKUP(E113+1,'Cashflow Details'!$1:$1005,123)/12</f>
        <v>-123.48925983546739</v>
      </c>
      <c r="H113" s="288"/>
      <c r="I113" s="292">
        <f t="shared" ref="I113:J113" ca="1" si="333">F113</f>
        <v>49218</v>
      </c>
      <c r="J113" s="293">
        <f t="shared" si="333"/>
        <v>-123.48925983546739</v>
      </c>
      <c r="K113" s="288"/>
      <c r="L113" s="292">
        <f t="shared" ref="L113:M113" ca="1" si="334">I113</f>
        <v>49218</v>
      </c>
      <c r="M113" s="293">
        <f t="shared" si="334"/>
        <v>-123.48925983546739</v>
      </c>
      <c r="N113" s="288"/>
      <c r="O113" s="292">
        <f t="shared" ref="O113:P113" ca="1" si="335">L113</f>
        <v>49218</v>
      </c>
      <c r="P113" s="293">
        <f t="shared" si="335"/>
        <v>-123.48925983546739</v>
      </c>
    </row>
    <row r="114" spans="2:16" ht="15.75" customHeight="1">
      <c r="B114" s="288"/>
      <c r="C114" s="288"/>
      <c r="D114" s="288"/>
      <c r="E114" s="289">
        <f t="shared" si="41"/>
        <v>9</v>
      </c>
      <c r="F114" s="292">
        <f t="shared" ca="1" si="6"/>
        <v>49249</v>
      </c>
      <c r="G114" s="293">
        <f>VLOOKUP(E114+1,'Cashflow Details'!$1:$1005,123)/12</f>
        <v>-123.48925983546739</v>
      </c>
      <c r="H114" s="288"/>
      <c r="I114" s="292">
        <f t="shared" ref="I114:J114" ca="1" si="336">F114</f>
        <v>49249</v>
      </c>
      <c r="J114" s="293">
        <f t="shared" si="336"/>
        <v>-123.48925983546739</v>
      </c>
      <c r="K114" s="288"/>
      <c r="L114" s="292">
        <f t="shared" ref="L114:M114" ca="1" si="337">I114</f>
        <v>49249</v>
      </c>
      <c r="M114" s="293">
        <f t="shared" si="337"/>
        <v>-123.48925983546739</v>
      </c>
      <c r="N114" s="288"/>
      <c r="O114" s="292">
        <f t="shared" ref="O114:P114" ca="1" si="338">L114</f>
        <v>49249</v>
      </c>
      <c r="P114" s="293">
        <f t="shared" si="338"/>
        <v>-123.48925983546739</v>
      </c>
    </row>
    <row r="115" spans="2:16" ht="15.75" customHeight="1">
      <c r="B115" s="288"/>
      <c r="C115" s="288"/>
      <c r="D115" s="288"/>
      <c r="E115" s="289">
        <f t="shared" si="41"/>
        <v>9</v>
      </c>
      <c r="F115" s="292">
        <f t="shared" ca="1" si="6"/>
        <v>49279</v>
      </c>
      <c r="G115" s="293">
        <f>VLOOKUP(E115+1,'Cashflow Details'!$1:$1005,123)/12</f>
        <v>-123.48925983546739</v>
      </c>
      <c r="H115" s="288"/>
      <c r="I115" s="292">
        <f t="shared" ref="I115:J115" ca="1" si="339">F115</f>
        <v>49279</v>
      </c>
      <c r="J115" s="293">
        <f t="shared" si="339"/>
        <v>-123.48925983546739</v>
      </c>
      <c r="K115" s="288"/>
      <c r="L115" s="292">
        <f t="shared" ref="L115:M115" ca="1" si="340">I115</f>
        <v>49279</v>
      </c>
      <c r="M115" s="293">
        <f t="shared" si="340"/>
        <v>-123.48925983546739</v>
      </c>
      <c r="N115" s="288"/>
      <c r="O115" s="292">
        <f t="shared" ref="O115:P115" ca="1" si="341">L115</f>
        <v>49279</v>
      </c>
      <c r="P115" s="293">
        <f t="shared" si="341"/>
        <v>-123.48925983546739</v>
      </c>
    </row>
    <row r="116" spans="2:16" ht="15.75" customHeight="1">
      <c r="B116" s="288"/>
      <c r="C116" s="288"/>
      <c r="D116" s="288"/>
      <c r="E116" s="289">
        <f t="shared" si="41"/>
        <v>9</v>
      </c>
      <c r="F116" s="292">
        <f t="shared" ca="1" si="6"/>
        <v>49310</v>
      </c>
      <c r="G116" s="293">
        <f>VLOOKUP(E116+1,'Cashflow Details'!$1:$1005,123)/12</f>
        <v>-123.48925983546739</v>
      </c>
      <c r="H116" s="288"/>
      <c r="I116" s="292">
        <f t="shared" ref="I116:J116" ca="1" si="342">F116</f>
        <v>49310</v>
      </c>
      <c r="J116" s="293">
        <f t="shared" si="342"/>
        <v>-123.48925983546739</v>
      </c>
      <c r="K116" s="288"/>
      <c r="L116" s="292">
        <f t="shared" ref="L116:M116" ca="1" si="343">I116</f>
        <v>49310</v>
      </c>
      <c r="M116" s="293">
        <f t="shared" si="343"/>
        <v>-123.48925983546739</v>
      </c>
      <c r="N116" s="288"/>
      <c r="O116" s="292">
        <f t="shared" ref="O116:P116" ca="1" si="344">L116</f>
        <v>49310</v>
      </c>
      <c r="P116" s="293">
        <f t="shared" si="344"/>
        <v>-123.48925983546739</v>
      </c>
    </row>
    <row r="117" spans="2:16" ht="15.75" customHeight="1">
      <c r="B117" s="288"/>
      <c r="C117" s="288"/>
      <c r="D117" s="288"/>
      <c r="E117" s="289">
        <f t="shared" si="41"/>
        <v>9</v>
      </c>
      <c r="F117" s="292">
        <f t="shared" ca="1" si="6"/>
        <v>49341</v>
      </c>
      <c r="G117" s="293">
        <f>VLOOKUP(E117+1,'Cashflow Details'!$1:$1005,123)/12</f>
        <v>-123.48925983546739</v>
      </c>
      <c r="H117" s="288"/>
      <c r="I117" s="292">
        <f t="shared" ref="I117:J117" ca="1" si="345">F117</f>
        <v>49341</v>
      </c>
      <c r="J117" s="293">
        <f t="shared" si="345"/>
        <v>-123.48925983546739</v>
      </c>
      <c r="K117" s="288"/>
      <c r="L117" s="292">
        <f t="shared" ref="L117:M117" ca="1" si="346">I117</f>
        <v>49341</v>
      </c>
      <c r="M117" s="293">
        <f t="shared" si="346"/>
        <v>-123.48925983546739</v>
      </c>
      <c r="N117" s="288"/>
      <c r="O117" s="292">
        <f t="shared" ref="O117:P117" ca="1" si="347">L117</f>
        <v>49341</v>
      </c>
      <c r="P117" s="293">
        <f t="shared" si="347"/>
        <v>-123.48925983546739</v>
      </c>
    </row>
    <row r="118" spans="2:16" ht="15.75" customHeight="1">
      <c r="B118" s="288"/>
      <c r="C118" s="288"/>
      <c r="D118" s="288"/>
      <c r="E118" s="289">
        <f t="shared" si="41"/>
        <v>9</v>
      </c>
      <c r="F118" s="292">
        <f t="shared" ca="1" si="6"/>
        <v>49369</v>
      </c>
      <c r="G118" s="293">
        <f>VLOOKUP(E118+1,'Cashflow Details'!$1:$1005,123)/12</f>
        <v>-123.48925983546739</v>
      </c>
      <c r="H118" s="288"/>
      <c r="I118" s="292">
        <f t="shared" ref="I118:J118" ca="1" si="348">F118</f>
        <v>49369</v>
      </c>
      <c r="J118" s="293">
        <f t="shared" si="348"/>
        <v>-123.48925983546739</v>
      </c>
      <c r="K118" s="288"/>
      <c r="L118" s="292">
        <f t="shared" ref="L118:M118" ca="1" si="349">I118</f>
        <v>49369</v>
      </c>
      <c r="M118" s="293">
        <f t="shared" si="349"/>
        <v>-123.48925983546739</v>
      </c>
      <c r="N118" s="288"/>
      <c r="O118" s="292">
        <f t="shared" ref="O118:P118" ca="1" si="350">L118</f>
        <v>49369</v>
      </c>
      <c r="P118" s="293">
        <f t="shared" si="350"/>
        <v>-123.48925983546739</v>
      </c>
    </row>
    <row r="119" spans="2:16" ht="15.75" customHeight="1">
      <c r="B119" s="288"/>
      <c r="C119" s="288"/>
      <c r="D119" s="288"/>
      <c r="E119" s="289">
        <f t="shared" si="41"/>
        <v>9</v>
      </c>
      <c r="F119" s="292">
        <f t="shared" ca="1" si="6"/>
        <v>49400</v>
      </c>
      <c r="G119" s="293">
        <f>VLOOKUP(E119+1,'Cashflow Details'!$1:$1005,123)/12</f>
        <v>-123.48925983546739</v>
      </c>
      <c r="H119" s="288"/>
      <c r="I119" s="292">
        <f t="shared" ref="I119:J119" ca="1" si="351">F119</f>
        <v>49400</v>
      </c>
      <c r="J119" s="293">
        <f t="shared" si="351"/>
        <v>-123.48925983546739</v>
      </c>
      <c r="K119" s="288"/>
      <c r="L119" s="292">
        <f t="shared" ref="L119:M119" ca="1" si="352">I119</f>
        <v>49400</v>
      </c>
      <c r="M119" s="293">
        <f t="shared" si="352"/>
        <v>-123.48925983546739</v>
      </c>
      <c r="N119" s="288"/>
      <c r="O119" s="292">
        <f t="shared" ref="O119:P119" ca="1" si="353">L119</f>
        <v>49400</v>
      </c>
      <c r="P119" s="293">
        <f t="shared" si="353"/>
        <v>-123.48925983546739</v>
      </c>
    </row>
    <row r="120" spans="2:16" ht="15.75" customHeight="1">
      <c r="B120" s="288"/>
      <c r="C120" s="288"/>
      <c r="D120" s="288"/>
      <c r="E120" s="289">
        <f t="shared" si="41"/>
        <v>9</v>
      </c>
      <c r="F120" s="292">
        <f t="shared" ca="1" si="6"/>
        <v>49430</v>
      </c>
      <c r="G120" s="293">
        <f>VLOOKUP(E120+1,'Cashflow Details'!$1:$1005,123)/12</f>
        <v>-123.48925983546739</v>
      </c>
      <c r="H120" s="288"/>
      <c r="I120" s="292">
        <f t="shared" ref="I120:J120" ca="1" si="354">F120</f>
        <v>49430</v>
      </c>
      <c r="J120" s="293">
        <f t="shared" si="354"/>
        <v>-123.48925983546739</v>
      </c>
      <c r="K120" s="288"/>
      <c r="L120" s="292">
        <f t="shared" ref="L120:M120" ca="1" si="355">I120</f>
        <v>49430</v>
      </c>
      <c r="M120" s="293">
        <f t="shared" si="355"/>
        <v>-123.48925983546739</v>
      </c>
      <c r="N120" s="288"/>
      <c r="O120" s="292">
        <f t="shared" ref="O120:P120" ca="1" si="356">L120</f>
        <v>49430</v>
      </c>
      <c r="P120" s="293">
        <f t="shared" si="356"/>
        <v>-123.48925983546739</v>
      </c>
    </row>
    <row r="121" spans="2:16" ht="15.75" customHeight="1">
      <c r="B121" s="288"/>
      <c r="C121" s="288"/>
      <c r="D121" s="288"/>
      <c r="E121" s="289">
        <f t="shared" si="41"/>
        <v>9</v>
      </c>
      <c r="F121" s="292">
        <f t="shared" ca="1" si="6"/>
        <v>49461</v>
      </c>
      <c r="G121" s="293">
        <f>VLOOKUP(E121+1,'Cashflow Details'!$1:$1005,123)/12</f>
        <v>-123.48925983546739</v>
      </c>
      <c r="H121" s="288"/>
      <c r="I121" s="292">
        <f t="shared" ref="I121:J121" ca="1" si="357">F121</f>
        <v>49461</v>
      </c>
      <c r="J121" s="293">
        <f t="shared" si="357"/>
        <v>-123.48925983546739</v>
      </c>
      <c r="K121" s="288"/>
      <c r="L121" s="292">
        <f t="shared" ref="L121:M121" ca="1" si="358">I121</f>
        <v>49461</v>
      </c>
      <c r="M121" s="293">
        <f t="shared" si="358"/>
        <v>-123.48925983546739</v>
      </c>
      <c r="N121" s="288"/>
      <c r="O121" s="292">
        <f t="shared" ref="O121:P121" ca="1" si="359">L121</f>
        <v>49461</v>
      </c>
      <c r="P121" s="293">
        <f t="shared" si="359"/>
        <v>-123.48925983546739</v>
      </c>
    </row>
    <row r="122" spans="2:16" ht="15.75" customHeight="1">
      <c r="B122" s="288"/>
      <c r="C122" s="288"/>
      <c r="D122" s="288"/>
      <c r="E122" s="289">
        <f t="shared" si="41"/>
        <v>9</v>
      </c>
      <c r="F122" s="292">
        <f t="shared" ca="1" si="6"/>
        <v>49491</v>
      </c>
      <c r="G122" s="293">
        <f>VLOOKUP(E122+1,'Cashflow Details'!$1:$1005,123)/12</f>
        <v>-123.48925983546739</v>
      </c>
      <c r="H122" s="288"/>
      <c r="I122" s="292">
        <f t="shared" ref="I122:J122" ca="1" si="360">F122</f>
        <v>49491</v>
      </c>
      <c r="J122" s="293">
        <f t="shared" si="360"/>
        <v>-123.48925983546739</v>
      </c>
      <c r="K122" s="288"/>
      <c r="L122" s="292">
        <f t="shared" ref="L122:M122" ca="1" si="361">I122</f>
        <v>49491</v>
      </c>
      <c r="M122" s="293">
        <f t="shared" si="361"/>
        <v>-123.48925983546739</v>
      </c>
      <c r="N122" s="288"/>
      <c r="O122" s="292">
        <f t="shared" ref="O122:P122" ca="1" si="362">L122</f>
        <v>49491</v>
      </c>
      <c r="P122" s="293">
        <f t="shared" si="362"/>
        <v>-123.48925983546739</v>
      </c>
    </row>
    <row r="123" spans="2:16" ht="15.75" customHeight="1">
      <c r="B123" s="288"/>
      <c r="C123" s="288"/>
      <c r="D123" s="288"/>
      <c r="E123" s="289">
        <f t="shared" si="41"/>
        <v>9</v>
      </c>
      <c r="F123" s="292">
        <f t="shared" ca="1" si="6"/>
        <v>49522</v>
      </c>
      <c r="G123" s="293">
        <f>VLOOKUP(E123+1,'Cashflow Details'!$1:$1005,123)/12</f>
        <v>-123.48925983546739</v>
      </c>
      <c r="H123" s="288"/>
      <c r="I123" s="292">
        <f t="shared" ref="I123:J123" ca="1" si="363">F123</f>
        <v>49522</v>
      </c>
      <c r="J123" s="293">
        <f t="shared" si="363"/>
        <v>-123.48925983546739</v>
      </c>
      <c r="K123" s="288"/>
      <c r="L123" s="292">
        <f t="shared" ref="L123:M123" ca="1" si="364">I123</f>
        <v>49522</v>
      </c>
      <c r="M123" s="293">
        <f t="shared" si="364"/>
        <v>-123.48925983546739</v>
      </c>
      <c r="N123" s="288"/>
      <c r="O123" s="292">
        <f t="shared" ref="O123:P123" ca="1" si="365">L123</f>
        <v>49522</v>
      </c>
      <c r="P123" s="293">
        <f t="shared" si="365"/>
        <v>-123.48925983546739</v>
      </c>
    </row>
    <row r="124" spans="2:16" ht="15.75" customHeight="1">
      <c r="B124" s="288"/>
      <c r="C124" s="288"/>
      <c r="D124" s="288"/>
      <c r="E124" s="289">
        <f t="shared" si="41"/>
        <v>10</v>
      </c>
      <c r="F124" s="292">
        <f t="shared" ca="1" si="6"/>
        <v>49553</v>
      </c>
      <c r="G124" s="293">
        <f>VLOOKUP(E124+1,'Cashflow Details'!$1:$1005,123)/12</f>
        <v>-119.4490450321767</v>
      </c>
      <c r="H124" s="288"/>
      <c r="I124" s="292">
        <f t="shared" ref="I124:J124" ca="1" si="366">F124</f>
        <v>49553</v>
      </c>
      <c r="J124" s="293">
        <f t="shared" si="366"/>
        <v>-119.4490450321767</v>
      </c>
      <c r="K124" s="288"/>
      <c r="L124" s="292">
        <f t="shared" ref="L124:M124" ca="1" si="367">I124</f>
        <v>49553</v>
      </c>
      <c r="M124" s="293">
        <f t="shared" si="367"/>
        <v>-119.4490450321767</v>
      </c>
      <c r="N124" s="288"/>
      <c r="O124" s="292">
        <f ca="1">L124</f>
        <v>49553</v>
      </c>
      <c r="P124" s="293">
        <f>'Immobilie als Kapitalanlage'!J50*1000</f>
        <v>71000000</v>
      </c>
    </row>
    <row r="125" spans="2:16" ht="15.75" customHeight="1">
      <c r="B125" s="288"/>
      <c r="C125" s="288"/>
      <c r="D125" s="288"/>
      <c r="E125" s="289">
        <f t="shared" si="41"/>
        <v>10</v>
      </c>
      <c r="F125" s="292">
        <f t="shared" ca="1" si="6"/>
        <v>49583</v>
      </c>
      <c r="G125" s="293">
        <f>VLOOKUP(E125+1,'Cashflow Details'!$1:$1005,123)/12</f>
        <v>-119.4490450321767</v>
      </c>
      <c r="H125" s="288"/>
      <c r="I125" s="292">
        <f t="shared" ref="I125:J125" ca="1" si="368">F125</f>
        <v>49583</v>
      </c>
      <c r="J125" s="293">
        <f t="shared" si="368"/>
        <v>-119.4490450321767</v>
      </c>
      <c r="K125" s="288"/>
      <c r="L125" s="292">
        <f t="shared" ref="L125:M125" ca="1" si="369">I125</f>
        <v>49583</v>
      </c>
      <c r="M125" s="293">
        <f t="shared" si="369"/>
        <v>-119.4490450321767</v>
      </c>
      <c r="N125" s="288"/>
      <c r="O125" s="288"/>
      <c r="P125" s="288"/>
    </row>
    <row r="126" spans="2:16" ht="15.75" customHeight="1">
      <c r="B126" s="288"/>
      <c r="C126" s="288"/>
      <c r="D126" s="288"/>
      <c r="E126" s="289">
        <f t="shared" si="41"/>
        <v>10</v>
      </c>
      <c r="F126" s="292">
        <f t="shared" ca="1" si="6"/>
        <v>49614</v>
      </c>
      <c r="G126" s="293">
        <f>VLOOKUP(E126+1,'Cashflow Details'!$1:$1005,123)/12</f>
        <v>-119.4490450321767</v>
      </c>
      <c r="H126" s="288"/>
      <c r="I126" s="292">
        <f t="shared" ref="I126:J126" ca="1" si="370">F126</f>
        <v>49614</v>
      </c>
      <c r="J126" s="293">
        <f t="shared" si="370"/>
        <v>-119.4490450321767</v>
      </c>
      <c r="K126" s="288"/>
      <c r="L126" s="292">
        <f t="shared" ref="L126:M126" ca="1" si="371">I126</f>
        <v>49614</v>
      </c>
      <c r="M126" s="293">
        <f t="shared" si="371"/>
        <v>-119.4490450321767</v>
      </c>
      <c r="N126" s="288"/>
      <c r="O126" s="288"/>
      <c r="P126" s="288"/>
    </row>
    <row r="127" spans="2:16" ht="15.75" customHeight="1">
      <c r="B127" s="288"/>
      <c r="C127" s="288"/>
      <c r="D127" s="288"/>
      <c r="E127" s="289">
        <f t="shared" si="41"/>
        <v>10</v>
      </c>
      <c r="F127" s="292">
        <f t="shared" ca="1" si="6"/>
        <v>49644</v>
      </c>
      <c r="G127" s="293">
        <f>VLOOKUP(E127+1,'Cashflow Details'!$1:$1005,123)/12</f>
        <v>-119.4490450321767</v>
      </c>
      <c r="H127" s="288"/>
      <c r="I127" s="292">
        <f t="shared" ref="I127:J127" ca="1" si="372">F127</f>
        <v>49644</v>
      </c>
      <c r="J127" s="293">
        <f t="shared" si="372"/>
        <v>-119.4490450321767</v>
      </c>
      <c r="K127" s="288"/>
      <c r="L127" s="292">
        <f t="shared" ref="L127:M127" ca="1" si="373">I127</f>
        <v>49644</v>
      </c>
      <c r="M127" s="293">
        <f t="shared" si="373"/>
        <v>-119.4490450321767</v>
      </c>
      <c r="N127" s="288"/>
      <c r="O127" s="288"/>
      <c r="P127" s="288"/>
    </row>
    <row r="128" spans="2:16" ht="15.75" customHeight="1">
      <c r="B128" s="288"/>
      <c r="C128" s="288"/>
      <c r="D128" s="288"/>
      <c r="E128" s="289">
        <f t="shared" si="41"/>
        <v>10</v>
      </c>
      <c r="F128" s="292">
        <f t="shared" ca="1" si="6"/>
        <v>49675</v>
      </c>
      <c r="G128" s="293">
        <f>VLOOKUP(E128+1,'Cashflow Details'!$1:$1005,123)/12</f>
        <v>-119.4490450321767</v>
      </c>
      <c r="H128" s="288"/>
      <c r="I128" s="292">
        <f t="shared" ref="I128:J128" ca="1" si="374">F128</f>
        <v>49675</v>
      </c>
      <c r="J128" s="293">
        <f t="shared" si="374"/>
        <v>-119.4490450321767</v>
      </c>
      <c r="K128" s="288"/>
      <c r="L128" s="292">
        <f t="shared" ref="L128:M128" ca="1" si="375">I128</f>
        <v>49675</v>
      </c>
      <c r="M128" s="293">
        <f t="shared" si="375"/>
        <v>-119.4490450321767</v>
      </c>
      <c r="N128" s="288"/>
      <c r="O128" s="288"/>
      <c r="P128" s="288"/>
    </row>
    <row r="129" spans="2:13" ht="15.75" customHeight="1">
      <c r="B129" s="288"/>
      <c r="C129" s="288"/>
      <c r="D129" s="288"/>
      <c r="E129" s="289">
        <f t="shared" si="41"/>
        <v>10</v>
      </c>
      <c r="F129" s="292">
        <f t="shared" ca="1" si="6"/>
        <v>49706</v>
      </c>
      <c r="G129" s="293">
        <f>VLOOKUP(E129+1,'Cashflow Details'!$1:$1005,123)/12</f>
        <v>-119.4490450321767</v>
      </c>
      <c r="H129" s="288"/>
      <c r="I129" s="292">
        <f t="shared" ref="I129:J129" ca="1" si="376">F129</f>
        <v>49706</v>
      </c>
      <c r="J129" s="293">
        <f t="shared" si="376"/>
        <v>-119.4490450321767</v>
      </c>
      <c r="K129" s="288"/>
      <c r="L129" s="292">
        <f t="shared" ref="L129:M129" ca="1" si="377">I129</f>
        <v>49706</v>
      </c>
      <c r="M129" s="293">
        <f t="shared" si="377"/>
        <v>-119.4490450321767</v>
      </c>
    </row>
    <row r="130" spans="2:13" ht="15.75" customHeight="1">
      <c r="B130" s="288"/>
      <c r="C130" s="288"/>
      <c r="D130" s="288"/>
      <c r="E130" s="289">
        <f t="shared" si="41"/>
        <v>10</v>
      </c>
      <c r="F130" s="292">
        <f t="shared" ca="1" si="6"/>
        <v>49735</v>
      </c>
      <c r="G130" s="293">
        <f>VLOOKUP(E130+1,'Cashflow Details'!$1:$1005,123)/12</f>
        <v>-119.4490450321767</v>
      </c>
      <c r="H130" s="288"/>
      <c r="I130" s="292">
        <f t="shared" ref="I130:J130" ca="1" si="378">F130</f>
        <v>49735</v>
      </c>
      <c r="J130" s="293">
        <f t="shared" si="378"/>
        <v>-119.4490450321767</v>
      </c>
      <c r="K130" s="288"/>
      <c r="L130" s="292">
        <f t="shared" ref="L130:M130" ca="1" si="379">I130</f>
        <v>49735</v>
      </c>
      <c r="M130" s="293">
        <f t="shared" si="379"/>
        <v>-119.4490450321767</v>
      </c>
    </row>
    <row r="131" spans="2:13" ht="15.75" customHeight="1">
      <c r="B131" s="288"/>
      <c r="C131" s="288"/>
      <c r="D131" s="288"/>
      <c r="E131" s="289">
        <f t="shared" si="41"/>
        <v>10</v>
      </c>
      <c r="F131" s="292">
        <f t="shared" ca="1" si="6"/>
        <v>49766</v>
      </c>
      <c r="G131" s="293">
        <f>VLOOKUP(E131+1,'Cashflow Details'!$1:$1005,123)/12</f>
        <v>-119.4490450321767</v>
      </c>
      <c r="H131" s="288"/>
      <c r="I131" s="292">
        <f t="shared" ref="I131:J131" ca="1" si="380">F131</f>
        <v>49766</v>
      </c>
      <c r="J131" s="293">
        <f t="shared" si="380"/>
        <v>-119.4490450321767</v>
      </c>
      <c r="K131" s="288"/>
      <c r="L131" s="292">
        <f t="shared" ref="L131:M131" ca="1" si="381">I131</f>
        <v>49766</v>
      </c>
      <c r="M131" s="293">
        <f t="shared" si="381"/>
        <v>-119.4490450321767</v>
      </c>
    </row>
    <row r="132" spans="2:13" ht="15.75" customHeight="1">
      <c r="B132" s="288"/>
      <c r="C132" s="288"/>
      <c r="D132" s="288"/>
      <c r="E132" s="289">
        <f t="shared" si="41"/>
        <v>10</v>
      </c>
      <c r="F132" s="292">
        <f t="shared" ca="1" si="6"/>
        <v>49796</v>
      </c>
      <c r="G132" s="293">
        <f>VLOOKUP(E132+1,'Cashflow Details'!$1:$1005,123)/12</f>
        <v>-119.4490450321767</v>
      </c>
      <c r="H132" s="288"/>
      <c r="I132" s="292">
        <f t="shared" ref="I132:J132" ca="1" si="382">F132</f>
        <v>49796</v>
      </c>
      <c r="J132" s="293">
        <f t="shared" si="382"/>
        <v>-119.4490450321767</v>
      </c>
      <c r="K132" s="288"/>
      <c r="L132" s="292">
        <f t="shared" ref="L132:M132" ca="1" si="383">I132</f>
        <v>49796</v>
      </c>
      <c r="M132" s="293">
        <f t="shared" si="383"/>
        <v>-119.4490450321767</v>
      </c>
    </row>
    <row r="133" spans="2:13" ht="15.75" customHeight="1">
      <c r="B133" s="288"/>
      <c r="C133" s="288"/>
      <c r="D133" s="288"/>
      <c r="E133" s="289">
        <f t="shared" si="41"/>
        <v>10</v>
      </c>
      <c r="F133" s="292">
        <f t="shared" ca="1" si="6"/>
        <v>49827</v>
      </c>
      <c r="G133" s="293">
        <f>VLOOKUP(E133+1,'Cashflow Details'!$1:$1005,123)/12</f>
        <v>-119.4490450321767</v>
      </c>
      <c r="H133" s="288"/>
      <c r="I133" s="292">
        <f t="shared" ref="I133:J133" ca="1" si="384">F133</f>
        <v>49827</v>
      </c>
      <c r="J133" s="293">
        <f t="shared" si="384"/>
        <v>-119.4490450321767</v>
      </c>
      <c r="K133" s="288"/>
      <c r="L133" s="292">
        <f t="shared" ref="L133:M133" ca="1" si="385">I133</f>
        <v>49827</v>
      </c>
      <c r="M133" s="293">
        <f t="shared" si="385"/>
        <v>-119.4490450321767</v>
      </c>
    </row>
    <row r="134" spans="2:13" ht="15.75" customHeight="1">
      <c r="B134" s="288"/>
      <c r="C134" s="288"/>
      <c r="D134" s="288"/>
      <c r="E134" s="289">
        <f t="shared" si="41"/>
        <v>10</v>
      </c>
      <c r="F134" s="292">
        <f t="shared" ca="1" si="6"/>
        <v>49857</v>
      </c>
      <c r="G134" s="293">
        <f>VLOOKUP(E134+1,'Cashflow Details'!$1:$1005,123)/12</f>
        <v>-119.4490450321767</v>
      </c>
      <c r="H134" s="288"/>
      <c r="I134" s="292">
        <f t="shared" ref="I134:J134" ca="1" si="386">F134</f>
        <v>49857</v>
      </c>
      <c r="J134" s="293">
        <f t="shared" si="386"/>
        <v>-119.4490450321767</v>
      </c>
      <c r="K134" s="288"/>
      <c r="L134" s="292">
        <f t="shared" ref="L134:M134" ca="1" si="387">I134</f>
        <v>49857</v>
      </c>
      <c r="M134" s="293">
        <f t="shared" si="387"/>
        <v>-119.4490450321767</v>
      </c>
    </row>
    <row r="135" spans="2:13" ht="15.75" customHeight="1">
      <c r="B135" s="288"/>
      <c r="C135" s="288"/>
      <c r="D135" s="288"/>
      <c r="E135" s="289">
        <f t="shared" si="41"/>
        <v>10</v>
      </c>
      <c r="F135" s="292">
        <f t="shared" ca="1" si="6"/>
        <v>49888</v>
      </c>
      <c r="G135" s="293">
        <f>VLOOKUP(E135+1,'Cashflow Details'!$1:$1005,123)/12</f>
        <v>-119.4490450321767</v>
      </c>
      <c r="H135" s="288"/>
      <c r="I135" s="292">
        <f t="shared" ref="I135:J135" ca="1" si="388">F135</f>
        <v>49888</v>
      </c>
      <c r="J135" s="293">
        <f t="shared" si="388"/>
        <v>-119.4490450321767</v>
      </c>
      <c r="K135" s="288"/>
      <c r="L135" s="292">
        <f t="shared" ref="L135:M135" ca="1" si="389">I135</f>
        <v>49888</v>
      </c>
      <c r="M135" s="293">
        <f t="shared" si="389"/>
        <v>-119.4490450321767</v>
      </c>
    </row>
    <row r="136" spans="2:13" ht="15.75" customHeight="1">
      <c r="B136" s="288"/>
      <c r="C136" s="288"/>
      <c r="D136" s="288"/>
      <c r="E136" s="289">
        <f t="shared" si="41"/>
        <v>11</v>
      </c>
      <c r="F136" s="292">
        <f t="shared" ca="1" si="6"/>
        <v>49919</v>
      </c>
      <c r="G136" s="293">
        <f>VLOOKUP(E136+1,'Cashflow Details'!$1:$1005,123)/12</f>
        <v>-115.4446925994871</v>
      </c>
      <c r="H136" s="288"/>
      <c r="I136" s="292">
        <f t="shared" ref="I136:J136" ca="1" si="390">F136</f>
        <v>49919</v>
      </c>
      <c r="J136" s="293">
        <f t="shared" si="390"/>
        <v>-115.4446925994871</v>
      </c>
      <c r="K136" s="288"/>
      <c r="L136" s="292">
        <f t="shared" ref="L136:M136" ca="1" si="391">I136</f>
        <v>49919</v>
      </c>
      <c r="M136" s="293">
        <f t="shared" si="391"/>
        <v>-115.4446925994871</v>
      </c>
    </row>
    <row r="137" spans="2:13" ht="15.75" customHeight="1">
      <c r="B137" s="288"/>
      <c r="C137" s="288"/>
      <c r="D137" s="288"/>
      <c r="E137" s="289">
        <f t="shared" si="41"/>
        <v>11</v>
      </c>
      <c r="F137" s="292">
        <f t="shared" ca="1" si="6"/>
        <v>49949</v>
      </c>
      <c r="G137" s="293">
        <f>VLOOKUP(E137+1,'Cashflow Details'!$1:$1005,123)/12</f>
        <v>-115.4446925994871</v>
      </c>
      <c r="H137" s="288"/>
      <c r="I137" s="292">
        <f t="shared" ref="I137:J137" ca="1" si="392">F137</f>
        <v>49949</v>
      </c>
      <c r="J137" s="293">
        <f t="shared" si="392"/>
        <v>-115.4446925994871</v>
      </c>
      <c r="K137" s="288"/>
      <c r="L137" s="292">
        <f t="shared" ref="L137:M137" ca="1" si="393">I137</f>
        <v>49949</v>
      </c>
      <c r="M137" s="293">
        <f t="shared" si="393"/>
        <v>-115.4446925994871</v>
      </c>
    </row>
    <row r="138" spans="2:13" ht="15.75" customHeight="1">
      <c r="B138" s="288"/>
      <c r="C138" s="288"/>
      <c r="D138" s="288"/>
      <c r="E138" s="289">
        <f t="shared" si="41"/>
        <v>11</v>
      </c>
      <c r="F138" s="292">
        <f t="shared" ca="1" si="6"/>
        <v>49980</v>
      </c>
      <c r="G138" s="293">
        <f>VLOOKUP(E138+1,'Cashflow Details'!$1:$1005,123)/12</f>
        <v>-115.4446925994871</v>
      </c>
      <c r="H138" s="288"/>
      <c r="I138" s="292">
        <f t="shared" ref="I138:J138" ca="1" si="394">F138</f>
        <v>49980</v>
      </c>
      <c r="J138" s="293">
        <f t="shared" si="394"/>
        <v>-115.4446925994871</v>
      </c>
      <c r="K138" s="288"/>
      <c r="L138" s="292">
        <f t="shared" ref="L138:M138" ca="1" si="395">I138</f>
        <v>49980</v>
      </c>
      <c r="M138" s="293">
        <f t="shared" si="395"/>
        <v>-115.4446925994871</v>
      </c>
    </row>
    <row r="139" spans="2:13" ht="15.75" customHeight="1">
      <c r="B139" s="288"/>
      <c r="C139" s="288"/>
      <c r="D139" s="288"/>
      <c r="E139" s="289">
        <f t="shared" si="41"/>
        <v>11</v>
      </c>
      <c r="F139" s="292">
        <f t="shared" ca="1" si="6"/>
        <v>50010</v>
      </c>
      <c r="G139" s="293">
        <f>VLOOKUP(E139+1,'Cashflow Details'!$1:$1005,123)/12</f>
        <v>-115.4446925994871</v>
      </c>
      <c r="H139" s="288"/>
      <c r="I139" s="292">
        <f t="shared" ref="I139:J139" ca="1" si="396">F139</f>
        <v>50010</v>
      </c>
      <c r="J139" s="293">
        <f t="shared" si="396"/>
        <v>-115.4446925994871</v>
      </c>
      <c r="K139" s="288"/>
      <c r="L139" s="292">
        <f t="shared" ref="L139:M139" ca="1" si="397">I139</f>
        <v>50010</v>
      </c>
      <c r="M139" s="293">
        <f t="shared" si="397"/>
        <v>-115.4446925994871</v>
      </c>
    </row>
    <row r="140" spans="2:13" ht="15.75" customHeight="1">
      <c r="B140" s="288"/>
      <c r="C140" s="288"/>
      <c r="D140" s="288"/>
      <c r="E140" s="289">
        <f t="shared" si="41"/>
        <v>11</v>
      </c>
      <c r="F140" s="292">
        <f t="shared" ca="1" si="6"/>
        <v>50041</v>
      </c>
      <c r="G140" s="293">
        <f>VLOOKUP(E140+1,'Cashflow Details'!$1:$1005,123)/12</f>
        <v>-115.4446925994871</v>
      </c>
      <c r="H140" s="288"/>
      <c r="I140" s="292">
        <f t="shared" ref="I140:J140" ca="1" si="398">F140</f>
        <v>50041</v>
      </c>
      <c r="J140" s="293">
        <f t="shared" si="398"/>
        <v>-115.4446925994871</v>
      </c>
      <c r="K140" s="288"/>
      <c r="L140" s="292">
        <f t="shared" ref="L140:M140" ca="1" si="399">I140</f>
        <v>50041</v>
      </c>
      <c r="M140" s="293">
        <f t="shared" si="399"/>
        <v>-115.4446925994871</v>
      </c>
    </row>
    <row r="141" spans="2:13" ht="15.75" customHeight="1">
      <c r="B141" s="288"/>
      <c r="C141" s="288"/>
      <c r="D141" s="288"/>
      <c r="E141" s="289">
        <f t="shared" si="41"/>
        <v>11</v>
      </c>
      <c r="F141" s="292">
        <f t="shared" ca="1" si="6"/>
        <v>50072</v>
      </c>
      <c r="G141" s="293">
        <f>VLOOKUP(E141+1,'Cashflow Details'!$1:$1005,123)/12</f>
        <v>-115.4446925994871</v>
      </c>
      <c r="H141" s="288"/>
      <c r="I141" s="292">
        <f t="shared" ref="I141:J141" ca="1" si="400">F141</f>
        <v>50072</v>
      </c>
      <c r="J141" s="293">
        <f t="shared" si="400"/>
        <v>-115.4446925994871</v>
      </c>
      <c r="K141" s="288"/>
      <c r="L141" s="292">
        <f t="shared" ref="L141:M141" ca="1" si="401">I141</f>
        <v>50072</v>
      </c>
      <c r="M141" s="293">
        <f t="shared" si="401"/>
        <v>-115.4446925994871</v>
      </c>
    </row>
    <row r="142" spans="2:13" ht="15.75" customHeight="1">
      <c r="B142" s="288"/>
      <c r="C142" s="288"/>
      <c r="D142" s="288"/>
      <c r="E142" s="289">
        <f t="shared" si="41"/>
        <v>11</v>
      </c>
      <c r="F142" s="292">
        <f t="shared" ca="1" si="6"/>
        <v>50100</v>
      </c>
      <c r="G142" s="293">
        <f>VLOOKUP(E142+1,'Cashflow Details'!$1:$1005,123)/12</f>
        <v>-115.4446925994871</v>
      </c>
      <c r="H142" s="288"/>
      <c r="I142" s="292">
        <f t="shared" ref="I142:J142" ca="1" si="402">F142</f>
        <v>50100</v>
      </c>
      <c r="J142" s="293">
        <f t="shared" si="402"/>
        <v>-115.4446925994871</v>
      </c>
      <c r="K142" s="288"/>
      <c r="L142" s="292">
        <f t="shared" ref="L142:M142" ca="1" si="403">I142</f>
        <v>50100</v>
      </c>
      <c r="M142" s="293">
        <f t="shared" si="403"/>
        <v>-115.4446925994871</v>
      </c>
    </row>
    <row r="143" spans="2:13" ht="15.75" customHeight="1">
      <c r="B143" s="288"/>
      <c r="C143" s="288"/>
      <c r="D143" s="288"/>
      <c r="E143" s="289">
        <f t="shared" si="41"/>
        <v>11</v>
      </c>
      <c r="F143" s="292">
        <f t="shared" ca="1" si="6"/>
        <v>50131</v>
      </c>
      <c r="G143" s="293">
        <f>VLOOKUP(E143+1,'Cashflow Details'!$1:$1005,123)/12</f>
        <v>-115.4446925994871</v>
      </c>
      <c r="H143" s="288"/>
      <c r="I143" s="292">
        <f t="shared" ref="I143:J143" ca="1" si="404">F143</f>
        <v>50131</v>
      </c>
      <c r="J143" s="293">
        <f t="shared" si="404"/>
        <v>-115.4446925994871</v>
      </c>
      <c r="K143" s="288"/>
      <c r="L143" s="292">
        <f t="shared" ref="L143:M143" ca="1" si="405">I143</f>
        <v>50131</v>
      </c>
      <c r="M143" s="293">
        <f t="shared" si="405"/>
        <v>-115.4446925994871</v>
      </c>
    </row>
    <row r="144" spans="2:13" ht="15.75" customHeight="1">
      <c r="B144" s="288"/>
      <c r="C144" s="288"/>
      <c r="D144" s="288"/>
      <c r="E144" s="289">
        <f t="shared" si="41"/>
        <v>11</v>
      </c>
      <c r="F144" s="292">
        <f t="shared" ca="1" si="6"/>
        <v>50161</v>
      </c>
      <c r="G144" s="293">
        <f>VLOOKUP(E144+1,'Cashflow Details'!$1:$1005,123)/12</f>
        <v>-115.4446925994871</v>
      </c>
      <c r="H144" s="288"/>
      <c r="I144" s="292">
        <f t="shared" ref="I144:J144" ca="1" si="406">F144</f>
        <v>50161</v>
      </c>
      <c r="J144" s="293">
        <f t="shared" si="406"/>
        <v>-115.4446925994871</v>
      </c>
      <c r="K144" s="288"/>
      <c r="L144" s="292">
        <f t="shared" ref="L144:M144" ca="1" si="407">I144</f>
        <v>50161</v>
      </c>
      <c r="M144" s="293">
        <f t="shared" si="407"/>
        <v>-115.4446925994871</v>
      </c>
    </row>
    <row r="145" spans="2:13" ht="15.75" customHeight="1">
      <c r="B145" s="288"/>
      <c r="C145" s="288"/>
      <c r="D145" s="288"/>
      <c r="E145" s="289">
        <f t="shared" si="41"/>
        <v>11</v>
      </c>
      <c r="F145" s="292">
        <f t="shared" ca="1" si="6"/>
        <v>50192</v>
      </c>
      <c r="G145" s="293">
        <f>VLOOKUP(E145+1,'Cashflow Details'!$1:$1005,123)/12</f>
        <v>-115.4446925994871</v>
      </c>
      <c r="H145" s="288"/>
      <c r="I145" s="292">
        <f t="shared" ref="I145:J145" ca="1" si="408">F145</f>
        <v>50192</v>
      </c>
      <c r="J145" s="293">
        <f t="shared" si="408"/>
        <v>-115.4446925994871</v>
      </c>
      <c r="K145" s="288"/>
      <c r="L145" s="292">
        <f t="shared" ref="L145:M145" ca="1" si="409">I145</f>
        <v>50192</v>
      </c>
      <c r="M145" s="293">
        <f t="shared" si="409"/>
        <v>-115.4446925994871</v>
      </c>
    </row>
    <row r="146" spans="2:13" ht="15.75" customHeight="1">
      <c r="B146" s="288"/>
      <c r="C146" s="288"/>
      <c r="D146" s="288"/>
      <c r="E146" s="289">
        <f t="shared" si="41"/>
        <v>11</v>
      </c>
      <c r="F146" s="292">
        <f t="shared" ca="1" si="6"/>
        <v>50222</v>
      </c>
      <c r="G146" s="293">
        <f>VLOOKUP(E146+1,'Cashflow Details'!$1:$1005,123)/12</f>
        <v>-115.4446925994871</v>
      </c>
      <c r="H146" s="288"/>
      <c r="I146" s="292">
        <f t="shared" ref="I146:J146" ca="1" si="410">F146</f>
        <v>50222</v>
      </c>
      <c r="J146" s="293">
        <f t="shared" si="410"/>
        <v>-115.4446925994871</v>
      </c>
      <c r="K146" s="288"/>
      <c r="L146" s="292">
        <f t="shared" ref="L146:M146" ca="1" si="411">I146</f>
        <v>50222</v>
      </c>
      <c r="M146" s="293">
        <f t="shared" si="411"/>
        <v>-115.4446925994871</v>
      </c>
    </row>
    <row r="147" spans="2:13" ht="15.75" customHeight="1">
      <c r="B147" s="288"/>
      <c r="C147" s="288"/>
      <c r="D147" s="288"/>
      <c r="E147" s="289">
        <f t="shared" si="41"/>
        <v>11</v>
      </c>
      <c r="F147" s="292">
        <f t="shared" ca="1" si="6"/>
        <v>50253</v>
      </c>
      <c r="G147" s="293">
        <f>VLOOKUP(E147+1,'Cashflow Details'!$1:$1005,123)/12</f>
        <v>-115.4446925994871</v>
      </c>
      <c r="H147" s="288"/>
      <c r="I147" s="292">
        <f t="shared" ref="I147:J147" ca="1" si="412">F147</f>
        <v>50253</v>
      </c>
      <c r="J147" s="293">
        <f t="shared" si="412"/>
        <v>-115.4446925994871</v>
      </c>
      <c r="K147" s="288"/>
      <c r="L147" s="292">
        <f t="shared" ref="L147:M147" ca="1" si="413">I147</f>
        <v>50253</v>
      </c>
      <c r="M147" s="293">
        <f t="shared" si="413"/>
        <v>-115.4446925994871</v>
      </c>
    </row>
    <row r="148" spans="2:13" ht="15.75" customHeight="1">
      <c r="B148" s="288"/>
      <c r="C148" s="288"/>
      <c r="D148" s="288"/>
      <c r="E148" s="289">
        <f t="shared" si="41"/>
        <v>12</v>
      </c>
      <c r="F148" s="292">
        <f t="shared" ca="1" si="6"/>
        <v>50284</v>
      </c>
      <c r="G148" s="293">
        <f>VLOOKUP(E148+1,'Cashflow Details'!$1:$1005,123)/12</f>
        <v>-111.46858645147677</v>
      </c>
      <c r="H148" s="288"/>
      <c r="I148" s="292">
        <f t="shared" ref="I148:J148" ca="1" si="414">F148</f>
        <v>50284</v>
      </c>
      <c r="J148" s="293">
        <f t="shared" si="414"/>
        <v>-111.46858645147677</v>
      </c>
      <c r="K148" s="288"/>
      <c r="L148" s="292">
        <f t="shared" ref="L148:M148" ca="1" si="415">I148</f>
        <v>50284</v>
      </c>
      <c r="M148" s="293">
        <f t="shared" si="415"/>
        <v>-111.46858645147677</v>
      </c>
    </row>
    <row r="149" spans="2:13" ht="15.75" customHeight="1">
      <c r="B149" s="288"/>
      <c r="C149" s="288"/>
      <c r="D149" s="288"/>
      <c r="E149" s="289">
        <f t="shared" si="41"/>
        <v>12</v>
      </c>
      <c r="F149" s="292">
        <f t="shared" ca="1" si="6"/>
        <v>50314</v>
      </c>
      <c r="G149" s="293">
        <f>VLOOKUP(E149+1,'Cashflow Details'!$1:$1005,123)/12</f>
        <v>-111.46858645147677</v>
      </c>
      <c r="H149" s="288"/>
      <c r="I149" s="292">
        <f t="shared" ref="I149:J149" ca="1" si="416">F149</f>
        <v>50314</v>
      </c>
      <c r="J149" s="293">
        <f t="shared" si="416"/>
        <v>-111.46858645147677</v>
      </c>
      <c r="K149" s="288"/>
      <c r="L149" s="292">
        <f t="shared" ref="L149:M149" ca="1" si="417">I149</f>
        <v>50314</v>
      </c>
      <c r="M149" s="293">
        <f t="shared" si="417"/>
        <v>-111.46858645147677</v>
      </c>
    </row>
    <row r="150" spans="2:13" ht="15.75" customHeight="1">
      <c r="B150" s="288"/>
      <c r="C150" s="288"/>
      <c r="D150" s="288"/>
      <c r="E150" s="289">
        <f t="shared" si="41"/>
        <v>12</v>
      </c>
      <c r="F150" s="292">
        <f t="shared" ca="1" si="6"/>
        <v>50345</v>
      </c>
      <c r="G150" s="293">
        <f>VLOOKUP(E150+1,'Cashflow Details'!$1:$1005,123)/12</f>
        <v>-111.46858645147677</v>
      </c>
      <c r="H150" s="288"/>
      <c r="I150" s="292">
        <f t="shared" ref="I150:J150" ca="1" si="418">F150</f>
        <v>50345</v>
      </c>
      <c r="J150" s="293">
        <f t="shared" si="418"/>
        <v>-111.46858645147677</v>
      </c>
      <c r="K150" s="288"/>
      <c r="L150" s="292">
        <f t="shared" ref="L150:M150" ca="1" si="419">I150</f>
        <v>50345</v>
      </c>
      <c r="M150" s="293">
        <f t="shared" si="419"/>
        <v>-111.46858645147677</v>
      </c>
    </row>
    <row r="151" spans="2:13" ht="15.75" customHeight="1">
      <c r="B151" s="288"/>
      <c r="C151" s="288"/>
      <c r="D151" s="288"/>
      <c r="E151" s="289">
        <f t="shared" si="41"/>
        <v>12</v>
      </c>
      <c r="F151" s="292">
        <f t="shared" ca="1" si="6"/>
        <v>50375</v>
      </c>
      <c r="G151" s="293">
        <f>VLOOKUP(E151+1,'Cashflow Details'!$1:$1005,123)/12</f>
        <v>-111.46858645147677</v>
      </c>
      <c r="H151" s="288"/>
      <c r="I151" s="292">
        <f t="shared" ref="I151:J151" ca="1" si="420">F151</f>
        <v>50375</v>
      </c>
      <c r="J151" s="293">
        <f t="shared" si="420"/>
        <v>-111.46858645147677</v>
      </c>
      <c r="K151" s="288"/>
      <c r="L151" s="292">
        <f t="shared" ref="L151:M151" ca="1" si="421">I151</f>
        <v>50375</v>
      </c>
      <c r="M151" s="293">
        <f t="shared" si="421"/>
        <v>-111.46858645147677</v>
      </c>
    </row>
    <row r="152" spans="2:13" ht="15.75" customHeight="1">
      <c r="B152" s="288"/>
      <c r="C152" s="288"/>
      <c r="D152" s="288"/>
      <c r="E152" s="289">
        <f t="shared" si="41"/>
        <v>12</v>
      </c>
      <c r="F152" s="292">
        <f t="shared" ca="1" si="6"/>
        <v>50406</v>
      </c>
      <c r="G152" s="293">
        <f>VLOOKUP(E152+1,'Cashflow Details'!$1:$1005,123)/12</f>
        <v>-111.46858645147677</v>
      </c>
      <c r="H152" s="288"/>
      <c r="I152" s="292">
        <f t="shared" ref="I152:J152" ca="1" si="422">F152</f>
        <v>50406</v>
      </c>
      <c r="J152" s="293">
        <f t="shared" si="422"/>
        <v>-111.46858645147677</v>
      </c>
      <c r="K152" s="288"/>
      <c r="L152" s="292">
        <f t="shared" ref="L152:M152" ca="1" si="423">I152</f>
        <v>50406</v>
      </c>
      <c r="M152" s="293">
        <f t="shared" si="423"/>
        <v>-111.46858645147677</v>
      </c>
    </row>
    <row r="153" spans="2:13" ht="15.75" customHeight="1">
      <c r="B153" s="288"/>
      <c r="C153" s="288"/>
      <c r="D153" s="288"/>
      <c r="E153" s="289">
        <f t="shared" si="41"/>
        <v>12</v>
      </c>
      <c r="F153" s="292">
        <f t="shared" ca="1" si="6"/>
        <v>50437</v>
      </c>
      <c r="G153" s="293">
        <f>VLOOKUP(E153+1,'Cashflow Details'!$1:$1005,123)/12</f>
        <v>-111.46858645147677</v>
      </c>
      <c r="H153" s="288"/>
      <c r="I153" s="292">
        <f t="shared" ref="I153:J153" ca="1" si="424">F153</f>
        <v>50437</v>
      </c>
      <c r="J153" s="293">
        <f t="shared" si="424"/>
        <v>-111.46858645147677</v>
      </c>
      <c r="K153" s="288"/>
      <c r="L153" s="292">
        <f t="shared" ref="L153:M153" ca="1" si="425">I153</f>
        <v>50437</v>
      </c>
      <c r="M153" s="293">
        <f t="shared" si="425"/>
        <v>-111.46858645147677</v>
      </c>
    </row>
    <row r="154" spans="2:13" ht="15.75" customHeight="1">
      <c r="B154" s="288"/>
      <c r="C154" s="288"/>
      <c r="D154" s="288"/>
      <c r="E154" s="289">
        <f t="shared" si="41"/>
        <v>12</v>
      </c>
      <c r="F154" s="292">
        <f t="shared" ca="1" si="6"/>
        <v>50465</v>
      </c>
      <c r="G154" s="293">
        <f>VLOOKUP(E154+1,'Cashflow Details'!$1:$1005,123)/12</f>
        <v>-111.46858645147677</v>
      </c>
      <c r="H154" s="288"/>
      <c r="I154" s="292">
        <f t="shared" ref="I154:J154" ca="1" si="426">F154</f>
        <v>50465</v>
      </c>
      <c r="J154" s="293">
        <f t="shared" si="426"/>
        <v>-111.46858645147677</v>
      </c>
      <c r="K154" s="288"/>
      <c r="L154" s="292">
        <f t="shared" ref="L154:M154" ca="1" si="427">I154</f>
        <v>50465</v>
      </c>
      <c r="M154" s="293">
        <f t="shared" si="427"/>
        <v>-111.46858645147677</v>
      </c>
    </row>
    <row r="155" spans="2:13" ht="15.75" customHeight="1">
      <c r="B155" s="288"/>
      <c r="C155" s="288"/>
      <c r="D155" s="288"/>
      <c r="E155" s="289">
        <f t="shared" si="41"/>
        <v>12</v>
      </c>
      <c r="F155" s="292">
        <f t="shared" ca="1" si="6"/>
        <v>50496</v>
      </c>
      <c r="G155" s="293">
        <f>VLOOKUP(E155+1,'Cashflow Details'!$1:$1005,123)/12</f>
        <v>-111.46858645147677</v>
      </c>
      <c r="H155" s="288"/>
      <c r="I155" s="292">
        <f t="shared" ref="I155:J155" ca="1" si="428">F155</f>
        <v>50496</v>
      </c>
      <c r="J155" s="293">
        <f t="shared" si="428"/>
        <v>-111.46858645147677</v>
      </c>
      <c r="K155" s="288"/>
      <c r="L155" s="292">
        <f t="shared" ref="L155:M155" ca="1" si="429">I155</f>
        <v>50496</v>
      </c>
      <c r="M155" s="293">
        <f t="shared" si="429"/>
        <v>-111.46858645147677</v>
      </c>
    </row>
    <row r="156" spans="2:13" ht="15.75" customHeight="1">
      <c r="B156" s="288"/>
      <c r="C156" s="288"/>
      <c r="D156" s="288"/>
      <c r="E156" s="289">
        <f t="shared" si="41"/>
        <v>12</v>
      </c>
      <c r="F156" s="292">
        <f t="shared" ca="1" si="6"/>
        <v>50526</v>
      </c>
      <c r="G156" s="293">
        <f>VLOOKUP(E156+1,'Cashflow Details'!$1:$1005,123)/12</f>
        <v>-111.46858645147677</v>
      </c>
      <c r="H156" s="288"/>
      <c r="I156" s="292">
        <f t="shared" ref="I156:J156" ca="1" si="430">F156</f>
        <v>50526</v>
      </c>
      <c r="J156" s="293">
        <f t="shared" si="430"/>
        <v>-111.46858645147677</v>
      </c>
      <c r="K156" s="288"/>
      <c r="L156" s="292">
        <f t="shared" ref="L156:M156" ca="1" si="431">I156</f>
        <v>50526</v>
      </c>
      <c r="M156" s="293">
        <f t="shared" si="431"/>
        <v>-111.46858645147677</v>
      </c>
    </row>
    <row r="157" spans="2:13" ht="15.75" customHeight="1">
      <c r="B157" s="288"/>
      <c r="C157" s="288"/>
      <c r="D157" s="288"/>
      <c r="E157" s="289">
        <f t="shared" si="41"/>
        <v>12</v>
      </c>
      <c r="F157" s="292">
        <f t="shared" ca="1" si="6"/>
        <v>50557</v>
      </c>
      <c r="G157" s="293">
        <f>VLOOKUP(E157+1,'Cashflow Details'!$1:$1005,123)/12</f>
        <v>-111.46858645147677</v>
      </c>
      <c r="H157" s="288"/>
      <c r="I157" s="292">
        <f t="shared" ref="I157:J157" ca="1" si="432">F157</f>
        <v>50557</v>
      </c>
      <c r="J157" s="293">
        <f t="shared" si="432"/>
        <v>-111.46858645147677</v>
      </c>
      <c r="K157" s="288"/>
      <c r="L157" s="292">
        <f t="shared" ref="L157:M157" ca="1" si="433">I157</f>
        <v>50557</v>
      </c>
      <c r="M157" s="293">
        <f t="shared" si="433"/>
        <v>-111.46858645147677</v>
      </c>
    </row>
    <row r="158" spans="2:13" ht="15.75" customHeight="1">
      <c r="B158" s="288"/>
      <c r="C158" s="288"/>
      <c r="D158" s="288"/>
      <c r="E158" s="289">
        <f t="shared" si="41"/>
        <v>12</v>
      </c>
      <c r="F158" s="292">
        <f t="shared" ca="1" si="6"/>
        <v>50587</v>
      </c>
      <c r="G158" s="293">
        <f>VLOOKUP(E158+1,'Cashflow Details'!$1:$1005,123)/12</f>
        <v>-111.46858645147677</v>
      </c>
      <c r="H158" s="288"/>
      <c r="I158" s="292">
        <f t="shared" ref="I158:J158" ca="1" si="434">F158</f>
        <v>50587</v>
      </c>
      <c r="J158" s="293">
        <f t="shared" si="434"/>
        <v>-111.46858645147677</v>
      </c>
      <c r="K158" s="288"/>
      <c r="L158" s="292">
        <f t="shared" ref="L158:M158" ca="1" si="435">I158</f>
        <v>50587</v>
      </c>
      <c r="M158" s="293">
        <f t="shared" si="435"/>
        <v>-111.46858645147677</v>
      </c>
    </row>
    <row r="159" spans="2:13" ht="15.75" customHeight="1">
      <c r="B159" s="288"/>
      <c r="C159" s="288"/>
      <c r="D159" s="288"/>
      <c r="E159" s="289">
        <f t="shared" si="41"/>
        <v>12</v>
      </c>
      <c r="F159" s="292">
        <f t="shared" ca="1" si="6"/>
        <v>50618</v>
      </c>
      <c r="G159" s="293">
        <f>VLOOKUP(E159+1,'Cashflow Details'!$1:$1005,123)/12</f>
        <v>-111.46858645147677</v>
      </c>
      <c r="H159" s="288"/>
      <c r="I159" s="292">
        <f t="shared" ref="I159:J159" ca="1" si="436">F159</f>
        <v>50618</v>
      </c>
      <c r="J159" s="293">
        <f t="shared" si="436"/>
        <v>-111.46858645147677</v>
      </c>
      <c r="K159" s="288"/>
      <c r="L159" s="292">
        <f t="shared" ref="L159:M159" ca="1" si="437">I159</f>
        <v>50618</v>
      </c>
      <c r="M159" s="293">
        <f t="shared" si="437"/>
        <v>-111.46858645147677</v>
      </c>
    </row>
    <row r="160" spans="2:13" ht="15.75" customHeight="1">
      <c r="B160" s="288"/>
      <c r="C160" s="288"/>
      <c r="D160" s="288"/>
      <c r="E160" s="289">
        <f t="shared" si="41"/>
        <v>13</v>
      </c>
      <c r="F160" s="292">
        <f t="shared" ca="1" si="6"/>
        <v>50649</v>
      </c>
      <c r="G160" s="293">
        <f>VLOOKUP(E160+1,'Cashflow Details'!$1:$1005,123)/12</f>
        <v>-107.42962484717282</v>
      </c>
      <c r="H160" s="288"/>
      <c r="I160" s="292">
        <f t="shared" ref="I160:J160" ca="1" si="438">F160</f>
        <v>50649</v>
      </c>
      <c r="J160" s="293">
        <f t="shared" si="438"/>
        <v>-107.42962484717282</v>
      </c>
      <c r="K160" s="288"/>
      <c r="L160" s="292">
        <f t="shared" ref="L160:M160" ca="1" si="439">I160</f>
        <v>50649</v>
      </c>
      <c r="M160" s="293">
        <f t="shared" si="439"/>
        <v>-107.42962484717282</v>
      </c>
    </row>
    <row r="161" spans="2:13" ht="15.75" customHeight="1">
      <c r="B161" s="288"/>
      <c r="C161" s="288"/>
      <c r="D161" s="288"/>
      <c r="E161" s="289">
        <f t="shared" si="41"/>
        <v>13</v>
      </c>
      <c r="F161" s="292">
        <f t="shared" ca="1" si="6"/>
        <v>50679</v>
      </c>
      <c r="G161" s="293">
        <f>VLOOKUP(E161+1,'Cashflow Details'!$1:$1005,123)/12</f>
        <v>-107.42962484717282</v>
      </c>
      <c r="H161" s="288"/>
      <c r="I161" s="292">
        <f t="shared" ref="I161:J161" ca="1" si="440">F161</f>
        <v>50679</v>
      </c>
      <c r="J161" s="293">
        <f t="shared" si="440"/>
        <v>-107.42962484717282</v>
      </c>
      <c r="K161" s="288"/>
      <c r="L161" s="292">
        <f t="shared" ref="L161:M161" ca="1" si="441">I161</f>
        <v>50679</v>
      </c>
      <c r="M161" s="293">
        <f t="shared" si="441"/>
        <v>-107.42962484717282</v>
      </c>
    </row>
    <row r="162" spans="2:13" ht="15.75" customHeight="1">
      <c r="B162" s="288"/>
      <c r="C162" s="288"/>
      <c r="D162" s="288"/>
      <c r="E162" s="289">
        <f t="shared" si="41"/>
        <v>13</v>
      </c>
      <c r="F162" s="292">
        <f t="shared" ca="1" si="6"/>
        <v>50710</v>
      </c>
      <c r="G162" s="293">
        <f>VLOOKUP(E162+1,'Cashflow Details'!$1:$1005,123)/12</f>
        <v>-107.42962484717282</v>
      </c>
      <c r="H162" s="288"/>
      <c r="I162" s="292">
        <f t="shared" ref="I162:J162" ca="1" si="442">F162</f>
        <v>50710</v>
      </c>
      <c r="J162" s="293">
        <f t="shared" si="442"/>
        <v>-107.42962484717282</v>
      </c>
      <c r="K162" s="288"/>
      <c r="L162" s="292">
        <f t="shared" ref="L162:M162" ca="1" si="443">I162</f>
        <v>50710</v>
      </c>
      <c r="M162" s="293">
        <f t="shared" si="443"/>
        <v>-107.42962484717282</v>
      </c>
    </row>
    <row r="163" spans="2:13" ht="15.75" customHeight="1">
      <c r="B163" s="288"/>
      <c r="C163" s="288"/>
      <c r="D163" s="288"/>
      <c r="E163" s="289">
        <f t="shared" si="41"/>
        <v>13</v>
      </c>
      <c r="F163" s="292">
        <f t="shared" ca="1" si="6"/>
        <v>50740</v>
      </c>
      <c r="G163" s="293">
        <f>VLOOKUP(E163+1,'Cashflow Details'!$1:$1005,123)/12</f>
        <v>-107.42962484717282</v>
      </c>
      <c r="H163" s="288"/>
      <c r="I163" s="292">
        <f t="shared" ref="I163:J163" ca="1" si="444">F163</f>
        <v>50740</v>
      </c>
      <c r="J163" s="293">
        <f t="shared" si="444"/>
        <v>-107.42962484717282</v>
      </c>
      <c r="K163" s="288"/>
      <c r="L163" s="292">
        <f t="shared" ref="L163:M163" ca="1" si="445">I163</f>
        <v>50740</v>
      </c>
      <c r="M163" s="293">
        <f t="shared" si="445"/>
        <v>-107.42962484717282</v>
      </c>
    </row>
    <row r="164" spans="2:13" ht="15.75" customHeight="1">
      <c r="B164" s="288"/>
      <c r="C164" s="288"/>
      <c r="D164" s="288"/>
      <c r="E164" s="289">
        <f t="shared" si="41"/>
        <v>13</v>
      </c>
      <c r="F164" s="292">
        <f t="shared" ca="1" si="6"/>
        <v>50771</v>
      </c>
      <c r="G164" s="293">
        <f>VLOOKUP(E164+1,'Cashflow Details'!$1:$1005,123)/12</f>
        <v>-107.42962484717282</v>
      </c>
      <c r="H164" s="288"/>
      <c r="I164" s="292">
        <f t="shared" ref="I164:J164" ca="1" si="446">F164</f>
        <v>50771</v>
      </c>
      <c r="J164" s="293">
        <f t="shared" si="446"/>
        <v>-107.42962484717282</v>
      </c>
      <c r="K164" s="288"/>
      <c r="L164" s="292">
        <f t="shared" ref="L164:M164" ca="1" si="447">I164</f>
        <v>50771</v>
      </c>
      <c r="M164" s="293">
        <f t="shared" si="447"/>
        <v>-107.42962484717282</v>
      </c>
    </row>
    <row r="165" spans="2:13" ht="15.75" customHeight="1">
      <c r="B165" s="288"/>
      <c r="C165" s="288"/>
      <c r="D165" s="288"/>
      <c r="E165" s="289">
        <f t="shared" si="41"/>
        <v>13</v>
      </c>
      <c r="F165" s="292">
        <f t="shared" ca="1" si="6"/>
        <v>50802</v>
      </c>
      <c r="G165" s="293">
        <f>VLOOKUP(E165+1,'Cashflow Details'!$1:$1005,123)/12</f>
        <v>-107.42962484717282</v>
      </c>
      <c r="H165" s="288"/>
      <c r="I165" s="292">
        <f t="shared" ref="I165:J165" ca="1" si="448">F165</f>
        <v>50802</v>
      </c>
      <c r="J165" s="293">
        <f t="shared" si="448"/>
        <v>-107.42962484717282</v>
      </c>
      <c r="K165" s="288"/>
      <c r="L165" s="292">
        <f t="shared" ref="L165:M165" ca="1" si="449">I165</f>
        <v>50802</v>
      </c>
      <c r="M165" s="293">
        <f t="shared" si="449"/>
        <v>-107.42962484717282</v>
      </c>
    </row>
    <row r="166" spans="2:13" ht="15.75" customHeight="1">
      <c r="B166" s="288"/>
      <c r="C166" s="288"/>
      <c r="D166" s="288"/>
      <c r="E166" s="289">
        <f t="shared" si="41"/>
        <v>13</v>
      </c>
      <c r="F166" s="292">
        <f t="shared" ca="1" si="6"/>
        <v>50830</v>
      </c>
      <c r="G166" s="293">
        <f>VLOOKUP(E166+1,'Cashflow Details'!$1:$1005,123)/12</f>
        <v>-107.42962484717282</v>
      </c>
      <c r="H166" s="288"/>
      <c r="I166" s="292">
        <f t="shared" ref="I166:J166" ca="1" si="450">F166</f>
        <v>50830</v>
      </c>
      <c r="J166" s="293">
        <f t="shared" si="450"/>
        <v>-107.42962484717282</v>
      </c>
      <c r="K166" s="288"/>
      <c r="L166" s="292">
        <f t="shared" ref="L166:M166" ca="1" si="451">I166</f>
        <v>50830</v>
      </c>
      <c r="M166" s="293">
        <f t="shared" si="451"/>
        <v>-107.42962484717282</v>
      </c>
    </row>
    <row r="167" spans="2:13" ht="15.75" customHeight="1">
      <c r="B167" s="288"/>
      <c r="C167" s="288"/>
      <c r="D167" s="288"/>
      <c r="E167" s="289">
        <f t="shared" si="41"/>
        <v>13</v>
      </c>
      <c r="F167" s="292">
        <f t="shared" ca="1" si="6"/>
        <v>50861</v>
      </c>
      <c r="G167" s="293">
        <f>VLOOKUP(E167+1,'Cashflow Details'!$1:$1005,123)/12</f>
        <v>-107.42962484717282</v>
      </c>
      <c r="H167" s="288"/>
      <c r="I167" s="292">
        <f t="shared" ref="I167:J167" ca="1" si="452">F167</f>
        <v>50861</v>
      </c>
      <c r="J167" s="293">
        <f t="shared" si="452"/>
        <v>-107.42962484717282</v>
      </c>
      <c r="K167" s="288"/>
      <c r="L167" s="292">
        <f t="shared" ref="L167:M167" ca="1" si="453">I167</f>
        <v>50861</v>
      </c>
      <c r="M167" s="293">
        <f t="shared" si="453"/>
        <v>-107.42962484717282</v>
      </c>
    </row>
    <row r="168" spans="2:13" ht="15.75" customHeight="1">
      <c r="B168" s="288"/>
      <c r="C168" s="288"/>
      <c r="D168" s="288"/>
      <c r="E168" s="289">
        <f t="shared" si="41"/>
        <v>13</v>
      </c>
      <c r="F168" s="292">
        <f t="shared" ca="1" si="6"/>
        <v>50891</v>
      </c>
      <c r="G168" s="293">
        <f>VLOOKUP(E168+1,'Cashflow Details'!$1:$1005,123)/12</f>
        <v>-107.42962484717282</v>
      </c>
      <c r="H168" s="288"/>
      <c r="I168" s="292">
        <f t="shared" ref="I168:J168" ca="1" si="454">F168</f>
        <v>50891</v>
      </c>
      <c r="J168" s="293">
        <f t="shared" si="454"/>
        <v>-107.42962484717282</v>
      </c>
      <c r="K168" s="288"/>
      <c r="L168" s="292">
        <f t="shared" ref="L168:M168" ca="1" si="455">I168</f>
        <v>50891</v>
      </c>
      <c r="M168" s="293">
        <f t="shared" si="455"/>
        <v>-107.42962484717282</v>
      </c>
    </row>
    <row r="169" spans="2:13" ht="15.75" customHeight="1">
      <c r="B169" s="288"/>
      <c r="C169" s="288"/>
      <c r="D169" s="288"/>
      <c r="E169" s="289">
        <f t="shared" si="41"/>
        <v>13</v>
      </c>
      <c r="F169" s="292">
        <f t="shared" ca="1" si="6"/>
        <v>50922</v>
      </c>
      <c r="G169" s="293">
        <f>VLOOKUP(E169+1,'Cashflow Details'!$1:$1005,123)/12</f>
        <v>-107.42962484717282</v>
      </c>
      <c r="H169" s="288"/>
      <c r="I169" s="292">
        <f t="shared" ref="I169:J169" ca="1" si="456">F169</f>
        <v>50922</v>
      </c>
      <c r="J169" s="293">
        <f t="shared" si="456"/>
        <v>-107.42962484717282</v>
      </c>
      <c r="K169" s="288"/>
      <c r="L169" s="292">
        <f t="shared" ref="L169:M169" ca="1" si="457">I169</f>
        <v>50922</v>
      </c>
      <c r="M169" s="293">
        <f t="shared" si="457"/>
        <v>-107.42962484717282</v>
      </c>
    </row>
    <row r="170" spans="2:13" ht="15.75" customHeight="1">
      <c r="B170" s="288"/>
      <c r="C170" s="288"/>
      <c r="D170" s="288"/>
      <c r="E170" s="289">
        <f t="shared" si="41"/>
        <v>13</v>
      </c>
      <c r="F170" s="292">
        <f t="shared" ca="1" si="6"/>
        <v>50952</v>
      </c>
      <c r="G170" s="293">
        <f>VLOOKUP(E170+1,'Cashflow Details'!$1:$1005,123)/12</f>
        <v>-107.42962484717282</v>
      </c>
      <c r="H170" s="288"/>
      <c r="I170" s="292">
        <f t="shared" ref="I170:J170" ca="1" si="458">F170</f>
        <v>50952</v>
      </c>
      <c r="J170" s="293">
        <f t="shared" si="458"/>
        <v>-107.42962484717282</v>
      </c>
      <c r="K170" s="288"/>
      <c r="L170" s="292">
        <f t="shared" ref="L170:M170" ca="1" si="459">I170</f>
        <v>50952</v>
      </c>
      <c r="M170" s="293">
        <f t="shared" si="459"/>
        <v>-107.42962484717282</v>
      </c>
    </row>
    <row r="171" spans="2:13" ht="15.75" customHeight="1">
      <c r="B171" s="288"/>
      <c r="C171" s="288"/>
      <c r="D171" s="288"/>
      <c r="E171" s="289">
        <f t="shared" si="41"/>
        <v>13</v>
      </c>
      <c r="F171" s="292">
        <f t="shared" ca="1" si="6"/>
        <v>50983</v>
      </c>
      <c r="G171" s="293">
        <f>VLOOKUP(E171+1,'Cashflow Details'!$1:$1005,123)/12</f>
        <v>-107.42962484717282</v>
      </c>
      <c r="H171" s="288"/>
      <c r="I171" s="292">
        <f t="shared" ref="I171:J171" ca="1" si="460">F171</f>
        <v>50983</v>
      </c>
      <c r="J171" s="293">
        <f t="shared" si="460"/>
        <v>-107.42962484717282</v>
      </c>
      <c r="K171" s="288"/>
      <c r="L171" s="292">
        <f t="shared" ref="L171:M171" ca="1" si="461">I171</f>
        <v>50983</v>
      </c>
      <c r="M171" s="293">
        <f t="shared" si="461"/>
        <v>-107.42962484717282</v>
      </c>
    </row>
    <row r="172" spans="2:13" ht="15.75" customHeight="1">
      <c r="B172" s="288"/>
      <c r="C172" s="288"/>
      <c r="D172" s="288"/>
      <c r="E172" s="289">
        <f t="shared" si="41"/>
        <v>14</v>
      </c>
      <c r="F172" s="292">
        <f t="shared" ca="1" si="6"/>
        <v>51014</v>
      </c>
      <c r="G172" s="293">
        <f>VLOOKUP(E172+1,'Cashflow Details'!$1:$1005,123)/12</f>
        <v>-103.48655067744949</v>
      </c>
      <c r="H172" s="288"/>
      <c r="I172" s="292">
        <f t="shared" ref="I172:J172" ca="1" si="462">F172</f>
        <v>51014</v>
      </c>
      <c r="J172" s="293">
        <f t="shared" si="462"/>
        <v>-103.48655067744949</v>
      </c>
      <c r="K172" s="288"/>
      <c r="L172" s="292">
        <f t="shared" ref="L172:M172" ca="1" si="463">I172</f>
        <v>51014</v>
      </c>
      <c r="M172" s="293">
        <f t="shared" si="463"/>
        <v>-103.48655067744949</v>
      </c>
    </row>
    <row r="173" spans="2:13" ht="15.75" customHeight="1">
      <c r="B173" s="288"/>
      <c r="C173" s="288"/>
      <c r="D173" s="288"/>
      <c r="E173" s="289">
        <f t="shared" si="41"/>
        <v>14</v>
      </c>
      <c r="F173" s="292">
        <f t="shared" ca="1" si="6"/>
        <v>51044</v>
      </c>
      <c r="G173" s="293">
        <f>VLOOKUP(E173+1,'Cashflow Details'!$1:$1005,123)/12</f>
        <v>-103.48655067744949</v>
      </c>
      <c r="H173" s="288"/>
      <c r="I173" s="292">
        <f t="shared" ref="I173:J173" ca="1" si="464">F173</f>
        <v>51044</v>
      </c>
      <c r="J173" s="293">
        <f t="shared" si="464"/>
        <v>-103.48655067744949</v>
      </c>
      <c r="K173" s="288"/>
      <c r="L173" s="292">
        <f t="shared" ref="L173:M173" ca="1" si="465">I173</f>
        <v>51044</v>
      </c>
      <c r="M173" s="293">
        <f t="shared" si="465"/>
        <v>-103.48655067744949</v>
      </c>
    </row>
    <row r="174" spans="2:13" ht="15.75" customHeight="1">
      <c r="B174" s="288"/>
      <c r="C174" s="288"/>
      <c r="D174" s="288"/>
      <c r="E174" s="289">
        <f t="shared" si="41"/>
        <v>14</v>
      </c>
      <c r="F174" s="292">
        <f t="shared" ca="1" si="6"/>
        <v>51075</v>
      </c>
      <c r="G174" s="293">
        <f>VLOOKUP(E174+1,'Cashflow Details'!$1:$1005,123)/12</f>
        <v>-103.48655067744949</v>
      </c>
      <c r="H174" s="288"/>
      <c r="I174" s="292">
        <f t="shared" ref="I174:J174" ca="1" si="466">F174</f>
        <v>51075</v>
      </c>
      <c r="J174" s="293">
        <f t="shared" si="466"/>
        <v>-103.48655067744949</v>
      </c>
      <c r="K174" s="288"/>
      <c r="L174" s="292">
        <f t="shared" ref="L174:M174" ca="1" si="467">I174</f>
        <v>51075</v>
      </c>
      <c r="M174" s="293">
        <f t="shared" si="467"/>
        <v>-103.48655067744949</v>
      </c>
    </row>
    <row r="175" spans="2:13" ht="15.75" customHeight="1">
      <c r="B175" s="288"/>
      <c r="C175" s="288"/>
      <c r="D175" s="288"/>
      <c r="E175" s="289">
        <f t="shared" si="41"/>
        <v>14</v>
      </c>
      <c r="F175" s="292">
        <f t="shared" ca="1" si="6"/>
        <v>51105</v>
      </c>
      <c r="G175" s="293">
        <f>VLOOKUP(E175+1,'Cashflow Details'!$1:$1005,123)/12</f>
        <v>-103.48655067744949</v>
      </c>
      <c r="H175" s="288"/>
      <c r="I175" s="292">
        <f t="shared" ref="I175:J175" ca="1" si="468">F175</f>
        <v>51105</v>
      </c>
      <c r="J175" s="293">
        <f t="shared" si="468"/>
        <v>-103.48655067744949</v>
      </c>
      <c r="K175" s="288"/>
      <c r="L175" s="292">
        <f t="shared" ref="L175:M175" ca="1" si="469">I175</f>
        <v>51105</v>
      </c>
      <c r="M175" s="293">
        <f t="shared" si="469"/>
        <v>-103.48655067744949</v>
      </c>
    </row>
    <row r="176" spans="2:13" ht="15.75" customHeight="1">
      <c r="B176" s="288"/>
      <c r="C176" s="288"/>
      <c r="D176" s="288"/>
      <c r="E176" s="289">
        <f t="shared" si="41"/>
        <v>14</v>
      </c>
      <c r="F176" s="292">
        <f t="shared" ca="1" si="6"/>
        <v>51136</v>
      </c>
      <c r="G176" s="293">
        <f>VLOOKUP(E176+1,'Cashflow Details'!$1:$1005,123)/12</f>
        <v>-103.48655067744949</v>
      </c>
      <c r="H176" s="288"/>
      <c r="I176" s="292">
        <f t="shared" ref="I176:J176" ca="1" si="470">F176</f>
        <v>51136</v>
      </c>
      <c r="J176" s="293">
        <f t="shared" si="470"/>
        <v>-103.48655067744949</v>
      </c>
      <c r="K176" s="288"/>
      <c r="L176" s="292">
        <f t="shared" ref="L176:M176" ca="1" si="471">I176</f>
        <v>51136</v>
      </c>
      <c r="M176" s="293">
        <f t="shared" si="471"/>
        <v>-103.48655067744949</v>
      </c>
    </row>
    <row r="177" spans="2:13" ht="15.75" customHeight="1">
      <c r="B177" s="288"/>
      <c r="C177" s="288"/>
      <c r="D177" s="288"/>
      <c r="E177" s="289">
        <f t="shared" si="41"/>
        <v>14</v>
      </c>
      <c r="F177" s="292">
        <f t="shared" ca="1" si="6"/>
        <v>51167</v>
      </c>
      <c r="G177" s="293">
        <f>VLOOKUP(E177+1,'Cashflow Details'!$1:$1005,123)/12</f>
        <v>-103.48655067744949</v>
      </c>
      <c r="H177" s="288"/>
      <c r="I177" s="292">
        <f t="shared" ref="I177:J177" ca="1" si="472">F177</f>
        <v>51167</v>
      </c>
      <c r="J177" s="293">
        <f t="shared" si="472"/>
        <v>-103.48655067744949</v>
      </c>
      <c r="K177" s="288"/>
      <c r="L177" s="292">
        <f t="shared" ref="L177:M177" ca="1" si="473">I177</f>
        <v>51167</v>
      </c>
      <c r="M177" s="293">
        <f t="shared" si="473"/>
        <v>-103.48655067744949</v>
      </c>
    </row>
    <row r="178" spans="2:13" ht="15.75" customHeight="1">
      <c r="B178" s="288"/>
      <c r="C178" s="288"/>
      <c r="D178" s="288"/>
      <c r="E178" s="289">
        <f t="shared" si="41"/>
        <v>14</v>
      </c>
      <c r="F178" s="292">
        <f t="shared" ca="1" si="6"/>
        <v>51196</v>
      </c>
      <c r="G178" s="293">
        <f>VLOOKUP(E178+1,'Cashflow Details'!$1:$1005,123)/12</f>
        <v>-103.48655067744949</v>
      </c>
      <c r="H178" s="288"/>
      <c r="I178" s="292">
        <f t="shared" ref="I178:J178" ca="1" si="474">F178</f>
        <v>51196</v>
      </c>
      <c r="J178" s="293">
        <f t="shared" si="474"/>
        <v>-103.48655067744949</v>
      </c>
      <c r="K178" s="288"/>
      <c r="L178" s="292">
        <f t="shared" ref="L178:M178" ca="1" si="475">I178</f>
        <v>51196</v>
      </c>
      <c r="M178" s="293">
        <f t="shared" si="475"/>
        <v>-103.48655067744949</v>
      </c>
    </row>
    <row r="179" spans="2:13" ht="15.75" customHeight="1">
      <c r="B179" s="288"/>
      <c r="C179" s="288"/>
      <c r="D179" s="288"/>
      <c r="E179" s="289">
        <f t="shared" si="41"/>
        <v>14</v>
      </c>
      <c r="F179" s="292">
        <f t="shared" ca="1" si="6"/>
        <v>51227</v>
      </c>
      <c r="G179" s="293">
        <f>VLOOKUP(E179+1,'Cashflow Details'!$1:$1005,123)/12</f>
        <v>-103.48655067744949</v>
      </c>
      <c r="H179" s="288"/>
      <c r="I179" s="292">
        <f t="shared" ref="I179:J179" ca="1" si="476">F179</f>
        <v>51227</v>
      </c>
      <c r="J179" s="293">
        <f t="shared" si="476"/>
        <v>-103.48655067744949</v>
      </c>
      <c r="K179" s="288"/>
      <c r="L179" s="292">
        <f t="shared" ref="L179:M179" ca="1" si="477">I179</f>
        <v>51227</v>
      </c>
      <c r="M179" s="293">
        <f t="shared" si="477"/>
        <v>-103.48655067744949</v>
      </c>
    </row>
    <row r="180" spans="2:13" ht="15.75" customHeight="1">
      <c r="B180" s="288"/>
      <c r="C180" s="288"/>
      <c r="D180" s="288"/>
      <c r="E180" s="289">
        <f t="shared" si="41"/>
        <v>14</v>
      </c>
      <c r="F180" s="292">
        <f t="shared" ca="1" si="6"/>
        <v>51257</v>
      </c>
      <c r="G180" s="293">
        <f>VLOOKUP(E180+1,'Cashflow Details'!$1:$1005,123)/12</f>
        <v>-103.48655067744949</v>
      </c>
      <c r="H180" s="288"/>
      <c r="I180" s="292">
        <f t="shared" ref="I180:J180" ca="1" si="478">F180</f>
        <v>51257</v>
      </c>
      <c r="J180" s="293">
        <f t="shared" si="478"/>
        <v>-103.48655067744949</v>
      </c>
      <c r="K180" s="288"/>
      <c r="L180" s="292">
        <f t="shared" ref="L180:M180" ca="1" si="479">I180</f>
        <v>51257</v>
      </c>
      <c r="M180" s="293">
        <f t="shared" si="479"/>
        <v>-103.48655067744949</v>
      </c>
    </row>
    <row r="181" spans="2:13" ht="15.75" customHeight="1">
      <c r="B181" s="288"/>
      <c r="C181" s="288"/>
      <c r="D181" s="288"/>
      <c r="E181" s="289">
        <f t="shared" si="41"/>
        <v>14</v>
      </c>
      <c r="F181" s="292">
        <f t="shared" ca="1" si="6"/>
        <v>51288</v>
      </c>
      <c r="G181" s="293">
        <f>VLOOKUP(E181+1,'Cashflow Details'!$1:$1005,123)/12</f>
        <v>-103.48655067744949</v>
      </c>
      <c r="H181" s="288"/>
      <c r="I181" s="292">
        <f t="shared" ref="I181:J181" ca="1" si="480">F181</f>
        <v>51288</v>
      </c>
      <c r="J181" s="293">
        <f t="shared" si="480"/>
        <v>-103.48655067744949</v>
      </c>
      <c r="K181" s="288"/>
      <c r="L181" s="292">
        <f t="shared" ref="L181:M181" ca="1" si="481">I181</f>
        <v>51288</v>
      </c>
      <c r="M181" s="293">
        <f t="shared" si="481"/>
        <v>-103.48655067744949</v>
      </c>
    </row>
    <row r="182" spans="2:13" ht="15.75" customHeight="1">
      <c r="B182" s="288"/>
      <c r="C182" s="288"/>
      <c r="D182" s="288"/>
      <c r="E182" s="289">
        <f t="shared" si="41"/>
        <v>14</v>
      </c>
      <c r="F182" s="292">
        <f t="shared" ca="1" si="6"/>
        <v>51318</v>
      </c>
      <c r="G182" s="293">
        <f>VLOOKUP(E182+1,'Cashflow Details'!$1:$1005,123)/12</f>
        <v>-103.48655067744949</v>
      </c>
      <c r="H182" s="288"/>
      <c r="I182" s="292">
        <f t="shared" ref="I182:J182" ca="1" si="482">F182</f>
        <v>51318</v>
      </c>
      <c r="J182" s="293">
        <f t="shared" si="482"/>
        <v>-103.48655067744949</v>
      </c>
      <c r="K182" s="288"/>
      <c r="L182" s="292">
        <f t="shared" ref="L182:M182" ca="1" si="483">I182</f>
        <v>51318</v>
      </c>
      <c r="M182" s="293">
        <f t="shared" si="483"/>
        <v>-103.48655067744949</v>
      </c>
    </row>
    <row r="183" spans="2:13" ht="15.75" customHeight="1">
      <c r="B183" s="288"/>
      <c r="C183" s="288"/>
      <c r="D183" s="288"/>
      <c r="E183" s="289">
        <f t="shared" si="41"/>
        <v>14</v>
      </c>
      <c r="F183" s="292">
        <f t="shared" ca="1" si="6"/>
        <v>51349</v>
      </c>
      <c r="G183" s="293">
        <f>VLOOKUP(E183+1,'Cashflow Details'!$1:$1005,123)/12</f>
        <v>-103.48655067744949</v>
      </c>
      <c r="H183" s="288"/>
      <c r="I183" s="292">
        <f t="shared" ref="I183:J183" ca="1" si="484">F183</f>
        <v>51349</v>
      </c>
      <c r="J183" s="293">
        <f t="shared" si="484"/>
        <v>-103.48655067744949</v>
      </c>
      <c r="K183" s="288"/>
      <c r="L183" s="292">
        <f t="shared" ref="L183:M183" ca="1" si="485">I183</f>
        <v>51349</v>
      </c>
      <c r="M183" s="293">
        <f t="shared" si="485"/>
        <v>-103.48655067744949</v>
      </c>
    </row>
    <row r="184" spans="2:13" ht="15.75" customHeight="1">
      <c r="B184" s="288"/>
      <c r="C184" s="288"/>
      <c r="D184" s="288"/>
      <c r="E184" s="289">
        <f t="shared" si="41"/>
        <v>15</v>
      </c>
      <c r="F184" s="292">
        <f t="shared" ca="1" si="6"/>
        <v>51380</v>
      </c>
      <c r="G184" s="293">
        <f>VLOOKUP(E184+1,'Cashflow Details'!$1:$1005,123)/12</f>
        <v>-99.547948357665518</v>
      </c>
      <c r="H184" s="288"/>
      <c r="I184" s="292">
        <f t="shared" ref="I184:J184" ca="1" si="486">F184</f>
        <v>51380</v>
      </c>
      <c r="J184" s="293">
        <f t="shared" si="486"/>
        <v>-99.547948357665518</v>
      </c>
      <c r="K184" s="288"/>
      <c r="L184" s="292">
        <f t="shared" ref="L184:M184" ca="1" si="487">I184</f>
        <v>51380</v>
      </c>
      <c r="M184" s="293">
        <f t="shared" si="487"/>
        <v>-99.547948357665518</v>
      </c>
    </row>
    <row r="185" spans="2:13" ht="15.75" customHeight="1">
      <c r="B185" s="288"/>
      <c r="C185" s="288"/>
      <c r="D185" s="288"/>
      <c r="E185" s="289">
        <f t="shared" si="41"/>
        <v>15</v>
      </c>
      <c r="F185" s="292">
        <f t="shared" ca="1" si="6"/>
        <v>51410</v>
      </c>
      <c r="G185" s="293">
        <f>VLOOKUP(E185+1,'Cashflow Details'!$1:$1005,123)/12</f>
        <v>-99.547948357665518</v>
      </c>
      <c r="H185" s="288"/>
      <c r="I185" s="292">
        <f t="shared" ref="I185:J185" ca="1" si="488">F185</f>
        <v>51410</v>
      </c>
      <c r="J185" s="293">
        <f t="shared" si="488"/>
        <v>-99.547948357665518</v>
      </c>
      <c r="K185" s="288"/>
      <c r="L185" s="292">
        <f t="shared" ref="L185:M185" ca="1" si="489">I185</f>
        <v>51410</v>
      </c>
      <c r="M185" s="293">
        <f t="shared" si="489"/>
        <v>-99.547948357665518</v>
      </c>
    </row>
    <row r="186" spans="2:13" ht="15.75" customHeight="1">
      <c r="B186" s="288"/>
      <c r="C186" s="288"/>
      <c r="D186" s="288"/>
      <c r="E186" s="289">
        <f t="shared" si="41"/>
        <v>15</v>
      </c>
      <c r="F186" s="292">
        <f t="shared" ca="1" si="6"/>
        <v>51441</v>
      </c>
      <c r="G186" s="293">
        <f>VLOOKUP(E186+1,'Cashflow Details'!$1:$1005,123)/12</f>
        <v>-99.547948357665518</v>
      </c>
      <c r="H186" s="288"/>
      <c r="I186" s="292">
        <f t="shared" ref="I186:J186" ca="1" si="490">F186</f>
        <v>51441</v>
      </c>
      <c r="J186" s="293">
        <f t="shared" si="490"/>
        <v>-99.547948357665518</v>
      </c>
      <c r="K186" s="288"/>
      <c r="L186" s="292">
        <f t="shared" ref="L186:M186" ca="1" si="491">I186</f>
        <v>51441</v>
      </c>
      <c r="M186" s="293">
        <f t="shared" si="491"/>
        <v>-99.547948357665518</v>
      </c>
    </row>
    <row r="187" spans="2:13" ht="15.75" customHeight="1">
      <c r="B187" s="288"/>
      <c r="C187" s="288"/>
      <c r="D187" s="288"/>
      <c r="E187" s="289">
        <f t="shared" si="41"/>
        <v>15</v>
      </c>
      <c r="F187" s="292">
        <f t="shared" ca="1" si="6"/>
        <v>51471</v>
      </c>
      <c r="G187" s="293">
        <f>VLOOKUP(E187+1,'Cashflow Details'!$1:$1005,123)/12</f>
        <v>-99.547948357665518</v>
      </c>
      <c r="H187" s="288"/>
      <c r="I187" s="292">
        <f t="shared" ref="I187:J187" ca="1" si="492">F187</f>
        <v>51471</v>
      </c>
      <c r="J187" s="293">
        <f t="shared" si="492"/>
        <v>-99.547948357665518</v>
      </c>
      <c r="K187" s="288"/>
      <c r="L187" s="292">
        <f t="shared" ref="L187:M187" ca="1" si="493">I187</f>
        <v>51471</v>
      </c>
      <c r="M187" s="293">
        <f t="shared" si="493"/>
        <v>-99.547948357665518</v>
      </c>
    </row>
    <row r="188" spans="2:13" ht="15.75" customHeight="1">
      <c r="B188" s="288"/>
      <c r="C188" s="288"/>
      <c r="D188" s="288"/>
      <c r="E188" s="289">
        <f t="shared" si="41"/>
        <v>15</v>
      </c>
      <c r="F188" s="292">
        <f t="shared" ca="1" si="6"/>
        <v>51502</v>
      </c>
      <c r="G188" s="293">
        <f>VLOOKUP(E188+1,'Cashflow Details'!$1:$1005,123)/12</f>
        <v>-99.547948357665518</v>
      </c>
      <c r="H188" s="288"/>
      <c r="I188" s="292">
        <f t="shared" ref="I188:J188" ca="1" si="494">F188</f>
        <v>51502</v>
      </c>
      <c r="J188" s="293">
        <f t="shared" si="494"/>
        <v>-99.547948357665518</v>
      </c>
      <c r="K188" s="288"/>
      <c r="L188" s="292">
        <f t="shared" ref="L188:M188" ca="1" si="495">I188</f>
        <v>51502</v>
      </c>
      <c r="M188" s="293">
        <f t="shared" si="495"/>
        <v>-99.547948357665518</v>
      </c>
    </row>
    <row r="189" spans="2:13" ht="15.75" customHeight="1">
      <c r="B189" s="288"/>
      <c r="C189" s="288"/>
      <c r="D189" s="288"/>
      <c r="E189" s="289">
        <f t="shared" si="41"/>
        <v>15</v>
      </c>
      <c r="F189" s="292">
        <f t="shared" ca="1" si="6"/>
        <v>51533</v>
      </c>
      <c r="G189" s="293">
        <f>VLOOKUP(E189+1,'Cashflow Details'!$1:$1005,123)/12</f>
        <v>-99.547948357665518</v>
      </c>
      <c r="H189" s="288"/>
      <c r="I189" s="292">
        <f t="shared" ref="I189:J189" ca="1" si="496">F189</f>
        <v>51533</v>
      </c>
      <c r="J189" s="293">
        <f t="shared" si="496"/>
        <v>-99.547948357665518</v>
      </c>
      <c r="K189" s="288"/>
      <c r="L189" s="292">
        <f t="shared" ref="L189:M189" ca="1" si="497">I189</f>
        <v>51533</v>
      </c>
      <c r="M189" s="293">
        <f t="shared" si="497"/>
        <v>-99.547948357665518</v>
      </c>
    </row>
    <row r="190" spans="2:13" ht="15.75" customHeight="1">
      <c r="B190" s="288"/>
      <c r="C190" s="288"/>
      <c r="D190" s="288"/>
      <c r="E190" s="289">
        <f t="shared" si="41"/>
        <v>15</v>
      </c>
      <c r="F190" s="292">
        <f t="shared" ca="1" si="6"/>
        <v>51561</v>
      </c>
      <c r="G190" s="293">
        <f>VLOOKUP(E190+1,'Cashflow Details'!$1:$1005,123)/12</f>
        <v>-99.547948357665518</v>
      </c>
      <c r="H190" s="288"/>
      <c r="I190" s="292">
        <f t="shared" ref="I190:J190" ca="1" si="498">F190</f>
        <v>51561</v>
      </c>
      <c r="J190" s="293">
        <f t="shared" si="498"/>
        <v>-99.547948357665518</v>
      </c>
      <c r="K190" s="288"/>
      <c r="L190" s="292">
        <f t="shared" ref="L190:M190" ca="1" si="499">I190</f>
        <v>51561</v>
      </c>
      <c r="M190" s="293">
        <f t="shared" si="499"/>
        <v>-99.547948357665518</v>
      </c>
    </row>
    <row r="191" spans="2:13" ht="15.75" customHeight="1">
      <c r="B191" s="288"/>
      <c r="C191" s="288"/>
      <c r="D191" s="288"/>
      <c r="E191" s="289">
        <f t="shared" si="41"/>
        <v>15</v>
      </c>
      <c r="F191" s="292">
        <f t="shared" ca="1" si="6"/>
        <v>51592</v>
      </c>
      <c r="G191" s="293">
        <f>VLOOKUP(E191+1,'Cashflow Details'!$1:$1005,123)/12</f>
        <v>-99.547948357665518</v>
      </c>
      <c r="H191" s="288"/>
      <c r="I191" s="292">
        <f t="shared" ref="I191:J191" ca="1" si="500">F191</f>
        <v>51592</v>
      </c>
      <c r="J191" s="293">
        <f t="shared" si="500"/>
        <v>-99.547948357665518</v>
      </c>
      <c r="K191" s="288"/>
      <c r="L191" s="292">
        <f t="shared" ref="L191:M191" ca="1" si="501">I191</f>
        <v>51592</v>
      </c>
      <c r="M191" s="293">
        <f t="shared" si="501"/>
        <v>-99.547948357665518</v>
      </c>
    </row>
    <row r="192" spans="2:13" ht="15.75" customHeight="1">
      <c r="B192" s="288"/>
      <c r="C192" s="288"/>
      <c r="D192" s="288"/>
      <c r="E192" s="289">
        <f t="shared" si="41"/>
        <v>15</v>
      </c>
      <c r="F192" s="292">
        <f t="shared" ca="1" si="6"/>
        <v>51622</v>
      </c>
      <c r="G192" s="293">
        <f>VLOOKUP(E192+1,'Cashflow Details'!$1:$1005,123)/12</f>
        <v>-99.547948357665518</v>
      </c>
      <c r="H192" s="288"/>
      <c r="I192" s="292">
        <f t="shared" ref="I192:J192" ca="1" si="502">F192</f>
        <v>51622</v>
      </c>
      <c r="J192" s="293">
        <f t="shared" si="502"/>
        <v>-99.547948357665518</v>
      </c>
      <c r="K192" s="288"/>
      <c r="L192" s="292">
        <f t="shared" ref="L192:M192" ca="1" si="503">I192</f>
        <v>51622</v>
      </c>
      <c r="M192" s="293">
        <f t="shared" si="503"/>
        <v>-99.547948357665518</v>
      </c>
    </row>
    <row r="193" spans="2:13" ht="15.75" customHeight="1">
      <c r="B193" s="288"/>
      <c r="C193" s="288"/>
      <c r="D193" s="288"/>
      <c r="E193" s="289">
        <f t="shared" si="41"/>
        <v>15</v>
      </c>
      <c r="F193" s="292">
        <f t="shared" ca="1" si="6"/>
        <v>51653</v>
      </c>
      <c r="G193" s="293">
        <f>VLOOKUP(E193+1,'Cashflow Details'!$1:$1005,123)/12</f>
        <v>-99.547948357665518</v>
      </c>
      <c r="H193" s="288"/>
      <c r="I193" s="292">
        <f t="shared" ref="I193:J193" ca="1" si="504">F193</f>
        <v>51653</v>
      </c>
      <c r="J193" s="293">
        <f t="shared" si="504"/>
        <v>-99.547948357665518</v>
      </c>
      <c r="K193" s="288"/>
      <c r="L193" s="292">
        <f t="shared" ref="L193:M193" ca="1" si="505">I193</f>
        <v>51653</v>
      </c>
      <c r="M193" s="293">
        <f t="shared" si="505"/>
        <v>-99.547948357665518</v>
      </c>
    </row>
    <row r="194" spans="2:13" ht="15.75" customHeight="1">
      <c r="B194" s="288"/>
      <c r="C194" s="288"/>
      <c r="D194" s="288"/>
      <c r="E194" s="289">
        <f t="shared" si="41"/>
        <v>15</v>
      </c>
      <c r="F194" s="292">
        <f t="shared" ca="1" si="6"/>
        <v>51683</v>
      </c>
      <c r="G194" s="293">
        <f>VLOOKUP(E194+1,'Cashflow Details'!$1:$1005,123)/12</f>
        <v>-99.547948357665518</v>
      </c>
      <c r="H194" s="288"/>
      <c r="I194" s="292">
        <f t="shared" ref="I194:J194" ca="1" si="506">F194</f>
        <v>51683</v>
      </c>
      <c r="J194" s="293">
        <f t="shared" si="506"/>
        <v>-99.547948357665518</v>
      </c>
      <c r="K194" s="288"/>
      <c r="L194" s="292">
        <f t="shared" ref="L194:M194" ca="1" si="507">I194</f>
        <v>51683</v>
      </c>
      <c r="M194" s="293">
        <f t="shared" si="507"/>
        <v>-99.547948357665518</v>
      </c>
    </row>
    <row r="195" spans="2:13" ht="15.75" customHeight="1">
      <c r="B195" s="288"/>
      <c r="C195" s="288"/>
      <c r="D195" s="288"/>
      <c r="E195" s="289">
        <f t="shared" si="41"/>
        <v>15</v>
      </c>
      <c r="F195" s="292">
        <f t="shared" ca="1" si="6"/>
        <v>51714</v>
      </c>
      <c r="G195" s="293">
        <f>VLOOKUP(E195+1,'Cashflow Details'!$1:$1005,123)/12</f>
        <v>-99.547948357665518</v>
      </c>
      <c r="H195" s="288"/>
      <c r="I195" s="292">
        <f t="shared" ref="I195:J195" ca="1" si="508">F195</f>
        <v>51714</v>
      </c>
      <c r="J195" s="293">
        <f t="shared" si="508"/>
        <v>-99.547948357665518</v>
      </c>
      <c r="K195" s="288"/>
      <c r="L195" s="292">
        <f t="shared" ref="L195:M195" ca="1" si="509">I195</f>
        <v>51714</v>
      </c>
      <c r="M195" s="293">
        <f t="shared" si="509"/>
        <v>-99.547948357665518</v>
      </c>
    </row>
    <row r="196" spans="2:13" ht="15.75" customHeight="1">
      <c r="B196" s="288"/>
      <c r="C196" s="288"/>
      <c r="D196" s="288"/>
      <c r="E196" s="289">
        <f t="shared" si="41"/>
        <v>16</v>
      </c>
      <c r="F196" s="292">
        <f t="shared" ca="1" si="6"/>
        <v>51745</v>
      </c>
      <c r="G196" s="293">
        <f>VLOOKUP(E196+1,'Cashflow Details'!$1:$1005,123)/12</f>
        <v>-95.688907324818658</v>
      </c>
      <c r="H196" s="288"/>
      <c r="I196" s="292">
        <f t="shared" ref="I196:J196" ca="1" si="510">F196</f>
        <v>51745</v>
      </c>
      <c r="J196" s="293">
        <f t="shared" si="510"/>
        <v>-95.688907324818658</v>
      </c>
      <c r="K196" s="288"/>
      <c r="L196" s="292">
        <f t="shared" ref="L196:M196" ca="1" si="511">I196</f>
        <v>51745</v>
      </c>
      <c r="M196" s="293">
        <f t="shared" si="511"/>
        <v>-95.688907324818658</v>
      </c>
    </row>
    <row r="197" spans="2:13" ht="15.75" customHeight="1">
      <c r="B197" s="288"/>
      <c r="C197" s="288"/>
      <c r="D197" s="288"/>
      <c r="E197" s="289">
        <f t="shared" si="41"/>
        <v>16</v>
      </c>
      <c r="F197" s="292">
        <f t="shared" ca="1" si="6"/>
        <v>51775</v>
      </c>
      <c r="G197" s="293">
        <f>VLOOKUP(E197+1,'Cashflow Details'!$1:$1005,123)/12</f>
        <v>-95.688907324818658</v>
      </c>
      <c r="H197" s="288"/>
      <c r="I197" s="292">
        <f t="shared" ref="I197:J197" ca="1" si="512">F197</f>
        <v>51775</v>
      </c>
      <c r="J197" s="293">
        <f t="shared" si="512"/>
        <v>-95.688907324818658</v>
      </c>
      <c r="K197" s="288"/>
      <c r="L197" s="292">
        <f t="shared" ref="L197:M197" ca="1" si="513">I197</f>
        <v>51775</v>
      </c>
      <c r="M197" s="293">
        <f t="shared" si="513"/>
        <v>-95.688907324818658</v>
      </c>
    </row>
    <row r="198" spans="2:13" ht="15.75" customHeight="1">
      <c r="B198" s="288"/>
      <c r="C198" s="288"/>
      <c r="D198" s="288"/>
      <c r="E198" s="289">
        <f t="shared" si="41"/>
        <v>16</v>
      </c>
      <c r="F198" s="292">
        <f t="shared" ca="1" si="6"/>
        <v>51806</v>
      </c>
      <c r="G198" s="293">
        <f>VLOOKUP(E198+1,'Cashflow Details'!$1:$1005,123)/12</f>
        <v>-95.688907324818658</v>
      </c>
      <c r="H198" s="288"/>
      <c r="I198" s="292">
        <f t="shared" ref="I198:J198" ca="1" si="514">F198</f>
        <v>51806</v>
      </c>
      <c r="J198" s="293">
        <f t="shared" si="514"/>
        <v>-95.688907324818658</v>
      </c>
      <c r="K198" s="288"/>
      <c r="L198" s="292">
        <f t="shared" ref="L198:M198" ca="1" si="515">I198</f>
        <v>51806</v>
      </c>
      <c r="M198" s="293">
        <f t="shared" si="515"/>
        <v>-95.688907324818658</v>
      </c>
    </row>
    <row r="199" spans="2:13" ht="15.75" customHeight="1">
      <c r="B199" s="288"/>
      <c r="C199" s="288"/>
      <c r="D199" s="288"/>
      <c r="E199" s="289">
        <f t="shared" si="41"/>
        <v>16</v>
      </c>
      <c r="F199" s="292">
        <f t="shared" ca="1" si="6"/>
        <v>51836</v>
      </c>
      <c r="G199" s="293">
        <f>VLOOKUP(E199+1,'Cashflow Details'!$1:$1005,123)/12</f>
        <v>-95.688907324818658</v>
      </c>
      <c r="H199" s="288"/>
      <c r="I199" s="292">
        <f t="shared" ref="I199:J199" ca="1" si="516">F199</f>
        <v>51836</v>
      </c>
      <c r="J199" s="293">
        <f t="shared" si="516"/>
        <v>-95.688907324818658</v>
      </c>
      <c r="K199" s="288"/>
      <c r="L199" s="292">
        <f t="shared" ref="L199:M199" ca="1" si="517">I199</f>
        <v>51836</v>
      </c>
      <c r="M199" s="293">
        <f t="shared" si="517"/>
        <v>-95.688907324818658</v>
      </c>
    </row>
    <row r="200" spans="2:13" ht="15.75" customHeight="1">
      <c r="B200" s="288"/>
      <c r="C200" s="288"/>
      <c r="D200" s="288"/>
      <c r="E200" s="289">
        <f t="shared" si="41"/>
        <v>16</v>
      </c>
      <c r="F200" s="292">
        <f t="shared" ca="1" si="6"/>
        <v>51867</v>
      </c>
      <c r="G200" s="293">
        <f>VLOOKUP(E200+1,'Cashflow Details'!$1:$1005,123)/12</f>
        <v>-95.688907324818658</v>
      </c>
      <c r="H200" s="288"/>
      <c r="I200" s="292">
        <f t="shared" ref="I200:J200" ca="1" si="518">F200</f>
        <v>51867</v>
      </c>
      <c r="J200" s="293">
        <f t="shared" si="518"/>
        <v>-95.688907324818658</v>
      </c>
      <c r="K200" s="288"/>
      <c r="L200" s="292">
        <f t="shared" ref="L200:M200" ca="1" si="519">I200</f>
        <v>51867</v>
      </c>
      <c r="M200" s="293">
        <f t="shared" si="519"/>
        <v>-95.688907324818658</v>
      </c>
    </row>
    <row r="201" spans="2:13" ht="15.75" customHeight="1">
      <c r="B201" s="288"/>
      <c r="C201" s="288"/>
      <c r="D201" s="288"/>
      <c r="E201" s="289">
        <f t="shared" si="41"/>
        <v>16</v>
      </c>
      <c r="F201" s="292">
        <f t="shared" ca="1" si="6"/>
        <v>51898</v>
      </c>
      <c r="G201" s="293">
        <f>VLOOKUP(E201+1,'Cashflow Details'!$1:$1005,123)/12</f>
        <v>-95.688907324818658</v>
      </c>
      <c r="H201" s="288"/>
      <c r="I201" s="292">
        <f t="shared" ref="I201:J201" ca="1" si="520">F201</f>
        <v>51898</v>
      </c>
      <c r="J201" s="293">
        <f t="shared" si="520"/>
        <v>-95.688907324818658</v>
      </c>
      <c r="K201" s="288"/>
      <c r="L201" s="292">
        <f t="shared" ref="L201:M201" ca="1" si="521">I201</f>
        <v>51898</v>
      </c>
      <c r="M201" s="293">
        <f t="shared" si="521"/>
        <v>-95.688907324818658</v>
      </c>
    </row>
    <row r="202" spans="2:13" ht="15.75" customHeight="1">
      <c r="B202" s="288"/>
      <c r="C202" s="288"/>
      <c r="D202" s="288"/>
      <c r="E202" s="289">
        <f t="shared" si="41"/>
        <v>16</v>
      </c>
      <c r="F202" s="292">
        <f t="shared" ca="1" si="6"/>
        <v>51926</v>
      </c>
      <c r="G202" s="293">
        <f>VLOOKUP(E202+1,'Cashflow Details'!$1:$1005,123)/12</f>
        <v>-95.688907324818658</v>
      </c>
      <c r="H202" s="288"/>
      <c r="I202" s="292">
        <f t="shared" ref="I202:J202" ca="1" si="522">F202</f>
        <v>51926</v>
      </c>
      <c r="J202" s="293">
        <f t="shared" si="522"/>
        <v>-95.688907324818658</v>
      </c>
      <c r="K202" s="288"/>
      <c r="L202" s="292">
        <f t="shared" ref="L202:M202" ca="1" si="523">I202</f>
        <v>51926</v>
      </c>
      <c r="M202" s="293">
        <f t="shared" si="523"/>
        <v>-95.688907324818658</v>
      </c>
    </row>
    <row r="203" spans="2:13" ht="15.75" customHeight="1">
      <c r="B203" s="288"/>
      <c r="C203" s="288"/>
      <c r="D203" s="288"/>
      <c r="E203" s="289">
        <f t="shared" si="41"/>
        <v>16</v>
      </c>
      <c r="F203" s="292">
        <f t="shared" ca="1" si="6"/>
        <v>51957</v>
      </c>
      <c r="G203" s="293">
        <f>VLOOKUP(E203+1,'Cashflow Details'!$1:$1005,123)/12</f>
        <v>-95.688907324818658</v>
      </c>
      <c r="H203" s="288"/>
      <c r="I203" s="292">
        <f t="shared" ref="I203:J203" ca="1" si="524">F203</f>
        <v>51957</v>
      </c>
      <c r="J203" s="293">
        <f t="shared" si="524"/>
        <v>-95.688907324818658</v>
      </c>
      <c r="K203" s="288"/>
      <c r="L203" s="292">
        <f t="shared" ref="L203:M203" ca="1" si="525">I203</f>
        <v>51957</v>
      </c>
      <c r="M203" s="293">
        <f t="shared" si="525"/>
        <v>-95.688907324818658</v>
      </c>
    </row>
    <row r="204" spans="2:13" ht="15.75" customHeight="1">
      <c r="B204" s="288"/>
      <c r="C204" s="288"/>
      <c r="D204" s="288"/>
      <c r="E204" s="289">
        <f t="shared" si="41"/>
        <v>16</v>
      </c>
      <c r="F204" s="292">
        <f t="shared" ca="1" si="6"/>
        <v>51987</v>
      </c>
      <c r="G204" s="293">
        <f>VLOOKUP(E204+1,'Cashflow Details'!$1:$1005,123)/12</f>
        <v>-95.688907324818658</v>
      </c>
      <c r="H204" s="288"/>
      <c r="I204" s="292">
        <f t="shared" ref="I204:J204" ca="1" si="526">F204</f>
        <v>51987</v>
      </c>
      <c r="J204" s="293">
        <f t="shared" si="526"/>
        <v>-95.688907324818658</v>
      </c>
      <c r="K204" s="288"/>
      <c r="L204" s="292">
        <f t="shared" ref="L204:M204" ca="1" si="527">I204</f>
        <v>51987</v>
      </c>
      <c r="M204" s="293">
        <f t="shared" si="527"/>
        <v>-95.688907324818658</v>
      </c>
    </row>
    <row r="205" spans="2:13" ht="15.75" customHeight="1">
      <c r="B205" s="288"/>
      <c r="C205" s="288"/>
      <c r="D205" s="288"/>
      <c r="E205" s="289">
        <f t="shared" si="41"/>
        <v>16</v>
      </c>
      <c r="F205" s="292">
        <f t="shared" ca="1" si="6"/>
        <v>52018</v>
      </c>
      <c r="G205" s="293">
        <f>VLOOKUP(E205+1,'Cashflow Details'!$1:$1005,123)/12</f>
        <v>-95.688907324818658</v>
      </c>
      <c r="H205" s="288"/>
      <c r="I205" s="292">
        <f t="shared" ref="I205:J205" ca="1" si="528">F205</f>
        <v>52018</v>
      </c>
      <c r="J205" s="293">
        <f t="shared" si="528"/>
        <v>-95.688907324818658</v>
      </c>
      <c r="K205" s="288"/>
      <c r="L205" s="292">
        <f t="shared" ref="L205:M205" ca="1" si="529">I205</f>
        <v>52018</v>
      </c>
      <c r="M205" s="293">
        <f t="shared" si="529"/>
        <v>-95.688907324818658</v>
      </c>
    </row>
    <row r="206" spans="2:13" ht="15.75" customHeight="1">
      <c r="B206" s="288"/>
      <c r="C206" s="288"/>
      <c r="D206" s="288"/>
      <c r="E206" s="289">
        <f t="shared" si="41"/>
        <v>16</v>
      </c>
      <c r="F206" s="292">
        <f t="shared" ca="1" si="6"/>
        <v>52048</v>
      </c>
      <c r="G206" s="293">
        <f>VLOOKUP(E206+1,'Cashflow Details'!$1:$1005,123)/12</f>
        <v>-95.688907324818658</v>
      </c>
      <c r="H206" s="288"/>
      <c r="I206" s="292">
        <f t="shared" ref="I206:J206" ca="1" si="530">F206</f>
        <v>52048</v>
      </c>
      <c r="J206" s="293">
        <f t="shared" si="530"/>
        <v>-95.688907324818658</v>
      </c>
      <c r="K206" s="288"/>
      <c r="L206" s="292">
        <f t="shared" ref="L206:M206" ca="1" si="531">I206</f>
        <v>52048</v>
      </c>
      <c r="M206" s="293">
        <f t="shared" si="531"/>
        <v>-95.688907324818658</v>
      </c>
    </row>
    <row r="207" spans="2:13" ht="15.75" customHeight="1">
      <c r="B207" s="288"/>
      <c r="C207" s="288"/>
      <c r="D207" s="288"/>
      <c r="E207" s="289">
        <f t="shared" si="41"/>
        <v>16</v>
      </c>
      <c r="F207" s="292">
        <f t="shared" ca="1" si="6"/>
        <v>52079</v>
      </c>
      <c r="G207" s="293">
        <f>VLOOKUP(E207+1,'Cashflow Details'!$1:$1005,123)/12</f>
        <v>-95.688907324818658</v>
      </c>
      <c r="H207" s="288"/>
      <c r="I207" s="292">
        <f t="shared" ref="I207:J207" ca="1" si="532">F207</f>
        <v>52079</v>
      </c>
      <c r="J207" s="293">
        <f t="shared" si="532"/>
        <v>-95.688907324818658</v>
      </c>
      <c r="K207" s="288"/>
      <c r="L207" s="292">
        <f t="shared" ref="L207:M207" ca="1" si="533">I207</f>
        <v>52079</v>
      </c>
      <c r="M207" s="293">
        <f t="shared" si="533"/>
        <v>-95.688907324818658</v>
      </c>
    </row>
    <row r="208" spans="2:13" ht="15.75" customHeight="1">
      <c r="B208" s="288"/>
      <c r="C208" s="288"/>
      <c r="D208" s="288"/>
      <c r="E208" s="289">
        <f t="shared" si="41"/>
        <v>17</v>
      </c>
      <c r="F208" s="292">
        <f t="shared" ca="1" si="6"/>
        <v>52110</v>
      </c>
      <c r="G208" s="293">
        <f>VLOOKUP(E208+1,'Cashflow Details'!$1:$1005,123)/12</f>
        <v>-91.817685471314846</v>
      </c>
      <c r="H208" s="288"/>
      <c r="I208" s="292">
        <f t="shared" ref="I208:J208" ca="1" si="534">F208</f>
        <v>52110</v>
      </c>
      <c r="J208" s="293">
        <f t="shared" si="534"/>
        <v>-91.817685471314846</v>
      </c>
      <c r="K208" s="288"/>
      <c r="L208" s="292">
        <f t="shared" ref="L208:M208" ca="1" si="535">I208</f>
        <v>52110</v>
      </c>
      <c r="M208" s="293">
        <f t="shared" si="535"/>
        <v>-91.817685471314846</v>
      </c>
    </row>
    <row r="209" spans="2:13" ht="15.75" customHeight="1">
      <c r="B209" s="288"/>
      <c r="C209" s="288"/>
      <c r="D209" s="288"/>
      <c r="E209" s="289">
        <f t="shared" si="41"/>
        <v>17</v>
      </c>
      <c r="F209" s="292">
        <f t="shared" ca="1" si="6"/>
        <v>52140</v>
      </c>
      <c r="G209" s="293">
        <f>VLOOKUP(E209+1,'Cashflow Details'!$1:$1005,123)/12</f>
        <v>-91.817685471314846</v>
      </c>
      <c r="H209" s="288"/>
      <c r="I209" s="292">
        <f t="shared" ref="I209:J209" ca="1" si="536">F209</f>
        <v>52140</v>
      </c>
      <c r="J209" s="293">
        <f t="shared" si="536"/>
        <v>-91.817685471314846</v>
      </c>
      <c r="K209" s="288"/>
      <c r="L209" s="292">
        <f t="shared" ref="L209:M209" ca="1" si="537">I209</f>
        <v>52140</v>
      </c>
      <c r="M209" s="293">
        <f t="shared" si="537"/>
        <v>-91.817685471314846</v>
      </c>
    </row>
    <row r="210" spans="2:13" ht="15.75" customHeight="1">
      <c r="B210" s="288"/>
      <c r="C210" s="288"/>
      <c r="D210" s="288"/>
      <c r="E210" s="289">
        <f t="shared" si="41"/>
        <v>17</v>
      </c>
      <c r="F210" s="292">
        <f t="shared" ca="1" si="6"/>
        <v>52171</v>
      </c>
      <c r="G210" s="293">
        <f>VLOOKUP(E210+1,'Cashflow Details'!$1:$1005,123)/12</f>
        <v>-91.817685471314846</v>
      </c>
      <c r="H210" s="288"/>
      <c r="I210" s="292">
        <f t="shared" ref="I210:J210" ca="1" si="538">F210</f>
        <v>52171</v>
      </c>
      <c r="J210" s="293">
        <f t="shared" si="538"/>
        <v>-91.817685471314846</v>
      </c>
      <c r="K210" s="288"/>
      <c r="L210" s="292">
        <f t="shared" ref="L210:M210" ca="1" si="539">I210</f>
        <v>52171</v>
      </c>
      <c r="M210" s="293">
        <f t="shared" si="539"/>
        <v>-91.817685471314846</v>
      </c>
    </row>
    <row r="211" spans="2:13" ht="15.75" customHeight="1">
      <c r="B211" s="288"/>
      <c r="C211" s="288"/>
      <c r="D211" s="288"/>
      <c r="E211" s="289">
        <f t="shared" si="41"/>
        <v>17</v>
      </c>
      <c r="F211" s="292">
        <f t="shared" ca="1" si="6"/>
        <v>52201</v>
      </c>
      <c r="G211" s="293">
        <f>VLOOKUP(E211+1,'Cashflow Details'!$1:$1005,123)/12</f>
        <v>-91.817685471314846</v>
      </c>
      <c r="H211" s="288"/>
      <c r="I211" s="292">
        <f t="shared" ref="I211:J211" ca="1" si="540">F211</f>
        <v>52201</v>
      </c>
      <c r="J211" s="293">
        <f t="shared" si="540"/>
        <v>-91.817685471314846</v>
      </c>
      <c r="K211" s="288"/>
      <c r="L211" s="292">
        <f t="shared" ref="L211:M211" ca="1" si="541">I211</f>
        <v>52201</v>
      </c>
      <c r="M211" s="293">
        <f t="shared" si="541"/>
        <v>-91.817685471314846</v>
      </c>
    </row>
    <row r="212" spans="2:13" ht="15.75" customHeight="1">
      <c r="B212" s="288"/>
      <c r="C212" s="288"/>
      <c r="D212" s="288"/>
      <c r="E212" s="289">
        <f t="shared" si="41"/>
        <v>17</v>
      </c>
      <c r="F212" s="292">
        <f t="shared" ca="1" si="6"/>
        <v>52232</v>
      </c>
      <c r="G212" s="293">
        <f>VLOOKUP(E212+1,'Cashflow Details'!$1:$1005,123)/12</f>
        <v>-91.817685471314846</v>
      </c>
      <c r="H212" s="288"/>
      <c r="I212" s="292">
        <f t="shared" ref="I212:J212" ca="1" si="542">F212</f>
        <v>52232</v>
      </c>
      <c r="J212" s="293">
        <f t="shared" si="542"/>
        <v>-91.817685471314846</v>
      </c>
      <c r="K212" s="288"/>
      <c r="L212" s="292">
        <f t="shared" ref="L212:M212" ca="1" si="543">I212</f>
        <v>52232</v>
      </c>
      <c r="M212" s="293">
        <f t="shared" si="543"/>
        <v>-91.817685471314846</v>
      </c>
    </row>
    <row r="213" spans="2:13" ht="15.75" customHeight="1">
      <c r="B213" s="288"/>
      <c r="C213" s="288"/>
      <c r="D213" s="288"/>
      <c r="E213" s="289">
        <f t="shared" si="41"/>
        <v>17</v>
      </c>
      <c r="F213" s="292">
        <f t="shared" ca="1" si="6"/>
        <v>52263</v>
      </c>
      <c r="G213" s="293">
        <f>VLOOKUP(E213+1,'Cashflow Details'!$1:$1005,123)/12</f>
        <v>-91.817685471314846</v>
      </c>
      <c r="H213" s="288"/>
      <c r="I213" s="292">
        <f t="shared" ref="I213:J213" ca="1" si="544">F213</f>
        <v>52263</v>
      </c>
      <c r="J213" s="293">
        <f t="shared" si="544"/>
        <v>-91.817685471314846</v>
      </c>
      <c r="K213" s="288"/>
      <c r="L213" s="292">
        <f t="shared" ref="L213:M213" ca="1" si="545">I213</f>
        <v>52263</v>
      </c>
      <c r="M213" s="293">
        <f t="shared" si="545"/>
        <v>-91.817685471314846</v>
      </c>
    </row>
    <row r="214" spans="2:13" ht="15.75" customHeight="1">
      <c r="B214" s="288"/>
      <c r="C214" s="288"/>
      <c r="D214" s="288"/>
      <c r="E214" s="289">
        <f t="shared" si="41"/>
        <v>17</v>
      </c>
      <c r="F214" s="292">
        <f t="shared" ca="1" si="6"/>
        <v>52291</v>
      </c>
      <c r="G214" s="293">
        <f>VLOOKUP(E214+1,'Cashflow Details'!$1:$1005,123)/12</f>
        <v>-91.817685471314846</v>
      </c>
      <c r="H214" s="288"/>
      <c r="I214" s="292">
        <f t="shared" ref="I214:J214" ca="1" si="546">F214</f>
        <v>52291</v>
      </c>
      <c r="J214" s="293">
        <f t="shared" si="546"/>
        <v>-91.817685471314846</v>
      </c>
      <c r="K214" s="288"/>
      <c r="L214" s="292">
        <f t="shared" ref="L214:M214" ca="1" si="547">I214</f>
        <v>52291</v>
      </c>
      <c r="M214" s="293">
        <f t="shared" si="547"/>
        <v>-91.817685471314846</v>
      </c>
    </row>
    <row r="215" spans="2:13" ht="15.75" customHeight="1">
      <c r="B215" s="288"/>
      <c r="C215" s="288"/>
      <c r="D215" s="288"/>
      <c r="E215" s="289">
        <f t="shared" si="41"/>
        <v>17</v>
      </c>
      <c r="F215" s="292">
        <f t="shared" ca="1" si="6"/>
        <v>52322</v>
      </c>
      <c r="G215" s="293">
        <f>VLOOKUP(E215+1,'Cashflow Details'!$1:$1005,123)/12</f>
        <v>-91.817685471314846</v>
      </c>
      <c r="H215" s="288"/>
      <c r="I215" s="292">
        <f t="shared" ref="I215:J215" ca="1" si="548">F215</f>
        <v>52322</v>
      </c>
      <c r="J215" s="293">
        <f t="shared" si="548"/>
        <v>-91.817685471314846</v>
      </c>
      <c r="K215" s="288"/>
      <c r="L215" s="292">
        <f t="shared" ref="L215:M215" ca="1" si="549">I215</f>
        <v>52322</v>
      </c>
      <c r="M215" s="293">
        <f t="shared" si="549"/>
        <v>-91.817685471314846</v>
      </c>
    </row>
    <row r="216" spans="2:13" ht="15.75" customHeight="1">
      <c r="B216" s="288"/>
      <c r="C216" s="288"/>
      <c r="D216" s="288"/>
      <c r="E216" s="289">
        <f t="shared" si="41"/>
        <v>17</v>
      </c>
      <c r="F216" s="292">
        <f t="shared" ca="1" si="6"/>
        <v>52352</v>
      </c>
      <c r="G216" s="293">
        <f>VLOOKUP(E216+1,'Cashflow Details'!$1:$1005,123)/12</f>
        <v>-91.817685471314846</v>
      </c>
      <c r="H216" s="288"/>
      <c r="I216" s="292">
        <f t="shared" ref="I216:J216" ca="1" si="550">F216</f>
        <v>52352</v>
      </c>
      <c r="J216" s="293">
        <f t="shared" si="550"/>
        <v>-91.817685471314846</v>
      </c>
      <c r="K216" s="288"/>
      <c r="L216" s="292">
        <f t="shared" ref="L216:M216" ca="1" si="551">I216</f>
        <v>52352</v>
      </c>
      <c r="M216" s="293">
        <f t="shared" si="551"/>
        <v>-91.817685471314846</v>
      </c>
    </row>
    <row r="217" spans="2:13" ht="15.75" customHeight="1">
      <c r="B217" s="288"/>
      <c r="C217" s="288"/>
      <c r="D217" s="288"/>
      <c r="E217" s="289">
        <f t="shared" si="41"/>
        <v>17</v>
      </c>
      <c r="F217" s="292">
        <f t="shared" ca="1" si="6"/>
        <v>52383</v>
      </c>
      <c r="G217" s="293">
        <f>VLOOKUP(E217+1,'Cashflow Details'!$1:$1005,123)/12</f>
        <v>-91.817685471314846</v>
      </c>
      <c r="H217" s="288"/>
      <c r="I217" s="292">
        <f t="shared" ref="I217:J217" ca="1" si="552">F217</f>
        <v>52383</v>
      </c>
      <c r="J217" s="293">
        <f t="shared" si="552"/>
        <v>-91.817685471314846</v>
      </c>
      <c r="K217" s="288"/>
      <c r="L217" s="292">
        <f t="shared" ref="L217:M217" ca="1" si="553">I217</f>
        <v>52383</v>
      </c>
      <c r="M217" s="293">
        <f t="shared" si="553"/>
        <v>-91.817685471314846</v>
      </c>
    </row>
    <row r="218" spans="2:13" ht="15.75" customHeight="1">
      <c r="B218" s="288"/>
      <c r="C218" s="288"/>
      <c r="D218" s="288"/>
      <c r="E218" s="289">
        <f t="shared" si="41"/>
        <v>17</v>
      </c>
      <c r="F218" s="292">
        <f t="shared" ca="1" si="6"/>
        <v>52413</v>
      </c>
      <c r="G218" s="293">
        <f>VLOOKUP(E218+1,'Cashflow Details'!$1:$1005,123)/12</f>
        <v>-91.817685471314846</v>
      </c>
      <c r="H218" s="288"/>
      <c r="I218" s="292">
        <f t="shared" ref="I218:J218" ca="1" si="554">F218</f>
        <v>52413</v>
      </c>
      <c r="J218" s="293">
        <f t="shared" si="554"/>
        <v>-91.817685471314846</v>
      </c>
      <c r="K218" s="288"/>
      <c r="L218" s="292">
        <f t="shared" ref="L218:M218" ca="1" si="555">I218</f>
        <v>52413</v>
      </c>
      <c r="M218" s="293">
        <f t="shared" si="555"/>
        <v>-91.817685471314846</v>
      </c>
    </row>
    <row r="219" spans="2:13" ht="15.75" customHeight="1">
      <c r="B219" s="288"/>
      <c r="C219" s="288"/>
      <c r="D219" s="288"/>
      <c r="E219" s="289">
        <f t="shared" si="41"/>
        <v>17</v>
      </c>
      <c r="F219" s="292">
        <f t="shared" ca="1" si="6"/>
        <v>52444</v>
      </c>
      <c r="G219" s="293">
        <f>VLOOKUP(E219+1,'Cashflow Details'!$1:$1005,123)/12</f>
        <v>-91.817685471314846</v>
      </c>
      <c r="H219" s="288"/>
      <c r="I219" s="292">
        <f t="shared" ref="I219:J219" ca="1" si="556">F219</f>
        <v>52444</v>
      </c>
      <c r="J219" s="293">
        <f t="shared" si="556"/>
        <v>-91.817685471314846</v>
      </c>
      <c r="K219" s="288"/>
      <c r="L219" s="292">
        <f t="shared" ref="L219:M219" ca="1" si="557">I219</f>
        <v>52444</v>
      </c>
      <c r="M219" s="293">
        <f t="shared" si="557"/>
        <v>-91.817685471314846</v>
      </c>
    </row>
    <row r="220" spans="2:13" ht="15.75" customHeight="1">
      <c r="B220" s="288"/>
      <c r="C220" s="288"/>
      <c r="D220" s="288"/>
      <c r="E220" s="289">
        <f t="shared" si="41"/>
        <v>18</v>
      </c>
      <c r="F220" s="292">
        <f t="shared" ca="1" si="6"/>
        <v>52475</v>
      </c>
      <c r="G220" s="293">
        <f>VLOOKUP(E220+1,'Cashflow Details'!$1:$1005,123)/12</f>
        <v>-88.009039180741183</v>
      </c>
      <c r="H220" s="288"/>
      <c r="I220" s="292">
        <f t="shared" ref="I220:J220" ca="1" si="558">F220</f>
        <v>52475</v>
      </c>
      <c r="J220" s="293">
        <f t="shared" si="558"/>
        <v>-88.009039180741183</v>
      </c>
      <c r="K220" s="288"/>
      <c r="L220" s="292">
        <f t="shared" ref="L220:M220" ca="1" si="559">I220</f>
        <v>52475</v>
      </c>
      <c r="M220" s="293">
        <f t="shared" si="559"/>
        <v>-88.009039180741183</v>
      </c>
    </row>
    <row r="221" spans="2:13" ht="15.75" customHeight="1">
      <c r="B221" s="288"/>
      <c r="C221" s="288"/>
      <c r="D221" s="288"/>
      <c r="E221" s="289">
        <f t="shared" si="41"/>
        <v>18</v>
      </c>
      <c r="F221" s="292">
        <f t="shared" ca="1" si="6"/>
        <v>52505</v>
      </c>
      <c r="G221" s="293">
        <f>VLOOKUP(E221+1,'Cashflow Details'!$1:$1005,123)/12</f>
        <v>-88.009039180741183</v>
      </c>
      <c r="H221" s="288"/>
      <c r="I221" s="292">
        <f t="shared" ref="I221:J221" ca="1" si="560">F221</f>
        <v>52505</v>
      </c>
      <c r="J221" s="293">
        <f t="shared" si="560"/>
        <v>-88.009039180741183</v>
      </c>
      <c r="K221" s="288"/>
      <c r="L221" s="292">
        <f t="shared" ref="L221:M221" ca="1" si="561">I221</f>
        <v>52505</v>
      </c>
      <c r="M221" s="293">
        <f t="shared" si="561"/>
        <v>-88.009039180741183</v>
      </c>
    </row>
    <row r="222" spans="2:13" ht="15.75" customHeight="1">
      <c r="B222" s="288"/>
      <c r="C222" s="288"/>
      <c r="D222" s="288"/>
      <c r="E222" s="289">
        <f t="shared" si="41"/>
        <v>18</v>
      </c>
      <c r="F222" s="292">
        <f t="shared" ca="1" si="6"/>
        <v>52536</v>
      </c>
      <c r="G222" s="293">
        <f>VLOOKUP(E222+1,'Cashflow Details'!$1:$1005,123)/12</f>
        <v>-88.009039180741183</v>
      </c>
      <c r="H222" s="288"/>
      <c r="I222" s="292">
        <f t="shared" ref="I222:J222" ca="1" si="562">F222</f>
        <v>52536</v>
      </c>
      <c r="J222" s="293">
        <f t="shared" si="562"/>
        <v>-88.009039180741183</v>
      </c>
      <c r="K222" s="288"/>
      <c r="L222" s="292">
        <f t="shared" ref="L222:M222" ca="1" si="563">I222</f>
        <v>52536</v>
      </c>
      <c r="M222" s="293">
        <f t="shared" si="563"/>
        <v>-88.009039180741183</v>
      </c>
    </row>
    <row r="223" spans="2:13" ht="15.75" customHeight="1">
      <c r="B223" s="288"/>
      <c r="C223" s="288"/>
      <c r="D223" s="288"/>
      <c r="E223" s="289">
        <f t="shared" si="41"/>
        <v>18</v>
      </c>
      <c r="F223" s="292">
        <f t="shared" ca="1" si="6"/>
        <v>52566</v>
      </c>
      <c r="G223" s="293">
        <f>VLOOKUP(E223+1,'Cashflow Details'!$1:$1005,123)/12</f>
        <v>-88.009039180741183</v>
      </c>
      <c r="H223" s="288"/>
      <c r="I223" s="292">
        <f t="shared" ref="I223:J223" ca="1" si="564">F223</f>
        <v>52566</v>
      </c>
      <c r="J223" s="293">
        <f t="shared" si="564"/>
        <v>-88.009039180741183</v>
      </c>
      <c r="K223" s="288"/>
      <c r="L223" s="292">
        <f t="shared" ref="L223:M223" ca="1" si="565">I223</f>
        <v>52566</v>
      </c>
      <c r="M223" s="293">
        <f t="shared" si="565"/>
        <v>-88.009039180741183</v>
      </c>
    </row>
    <row r="224" spans="2:13" ht="15.75" customHeight="1">
      <c r="B224" s="288"/>
      <c r="C224" s="288"/>
      <c r="D224" s="288"/>
      <c r="E224" s="289">
        <f t="shared" si="41"/>
        <v>18</v>
      </c>
      <c r="F224" s="292">
        <f t="shared" ca="1" si="6"/>
        <v>52597</v>
      </c>
      <c r="G224" s="293">
        <f>VLOOKUP(E224+1,'Cashflow Details'!$1:$1005,123)/12</f>
        <v>-88.009039180741183</v>
      </c>
      <c r="H224" s="288"/>
      <c r="I224" s="292">
        <f t="shared" ref="I224:J224" ca="1" si="566">F224</f>
        <v>52597</v>
      </c>
      <c r="J224" s="293">
        <f t="shared" si="566"/>
        <v>-88.009039180741183</v>
      </c>
      <c r="K224" s="288"/>
      <c r="L224" s="292">
        <f t="shared" ref="L224:M224" ca="1" si="567">I224</f>
        <v>52597</v>
      </c>
      <c r="M224" s="293">
        <f t="shared" si="567"/>
        <v>-88.009039180741183</v>
      </c>
    </row>
    <row r="225" spans="2:13" ht="15.75" customHeight="1">
      <c r="B225" s="288"/>
      <c r="C225" s="288"/>
      <c r="D225" s="288"/>
      <c r="E225" s="289">
        <f t="shared" si="41"/>
        <v>18</v>
      </c>
      <c r="F225" s="292">
        <f t="shared" ca="1" si="6"/>
        <v>52628</v>
      </c>
      <c r="G225" s="293">
        <f>VLOOKUP(E225+1,'Cashflow Details'!$1:$1005,123)/12</f>
        <v>-88.009039180741183</v>
      </c>
      <c r="H225" s="288"/>
      <c r="I225" s="292">
        <f t="shared" ref="I225:J225" ca="1" si="568">F225</f>
        <v>52628</v>
      </c>
      <c r="J225" s="293">
        <f t="shared" si="568"/>
        <v>-88.009039180741183</v>
      </c>
      <c r="K225" s="288"/>
      <c r="L225" s="292">
        <f t="shared" ref="L225:M225" ca="1" si="569">I225</f>
        <v>52628</v>
      </c>
      <c r="M225" s="293">
        <f t="shared" si="569"/>
        <v>-88.009039180741183</v>
      </c>
    </row>
    <row r="226" spans="2:13" ht="15.75" customHeight="1">
      <c r="B226" s="288"/>
      <c r="C226" s="288"/>
      <c r="D226" s="288"/>
      <c r="E226" s="289">
        <f t="shared" si="41"/>
        <v>18</v>
      </c>
      <c r="F226" s="292">
        <f t="shared" ca="1" si="6"/>
        <v>52657</v>
      </c>
      <c r="G226" s="293">
        <f>VLOOKUP(E226+1,'Cashflow Details'!$1:$1005,123)/12</f>
        <v>-88.009039180741183</v>
      </c>
      <c r="H226" s="288"/>
      <c r="I226" s="292">
        <f t="shared" ref="I226:J226" ca="1" si="570">F226</f>
        <v>52657</v>
      </c>
      <c r="J226" s="293">
        <f t="shared" si="570"/>
        <v>-88.009039180741183</v>
      </c>
      <c r="K226" s="288"/>
      <c r="L226" s="292">
        <f t="shared" ref="L226:M226" ca="1" si="571">I226</f>
        <v>52657</v>
      </c>
      <c r="M226" s="293">
        <f t="shared" si="571"/>
        <v>-88.009039180741183</v>
      </c>
    </row>
    <row r="227" spans="2:13" ht="15.75" customHeight="1">
      <c r="B227" s="288"/>
      <c r="C227" s="288"/>
      <c r="D227" s="288"/>
      <c r="E227" s="289">
        <f t="shared" si="41"/>
        <v>18</v>
      </c>
      <c r="F227" s="292">
        <f t="shared" ca="1" si="6"/>
        <v>52688</v>
      </c>
      <c r="G227" s="293">
        <f>VLOOKUP(E227+1,'Cashflow Details'!$1:$1005,123)/12</f>
        <v>-88.009039180741183</v>
      </c>
      <c r="H227" s="288"/>
      <c r="I227" s="292">
        <f t="shared" ref="I227:J227" ca="1" si="572">F227</f>
        <v>52688</v>
      </c>
      <c r="J227" s="293">
        <f t="shared" si="572"/>
        <v>-88.009039180741183</v>
      </c>
      <c r="K227" s="288"/>
      <c r="L227" s="292">
        <f t="shared" ref="L227:M227" ca="1" si="573">I227</f>
        <v>52688</v>
      </c>
      <c r="M227" s="293">
        <f t="shared" si="573"/>
        <v>-88.009039180741183</v>
      </c>
    </row>
    <row r="228" spans="2:13" ht="15.75" customHeight="1">
      <c r="B228" s="288"/>
      <c r="C228" s="288"/>
      <c r="D228" s="288"/>
      <c r="E228" s="289">
        <f t="shared" si="41"/>
        <v>18</v>
      </c>
      <c r="F228" s="292">
        <f t="shared" ca="1" si="6"/>
        <v>52718</v>
      </c>
      <c r="G228" s="293">
        <f>VLOOKUP(E228+1,'Cashflow Details'!$1:$1005,123)/12</f>
        <v>-88.009039180741183</v>
      </c>
      <c r="H228" s="288"/>
      <c r="I228" s="292">
        <f t="shared" ref="I228:J228" ca="1" si="574">F228</f>
        <v>52718</v>
      </c>
      <c r="J228" s="293">
        <f t="shared" si="574"/>
        <v>-88.009039180741183</v>
      </c>
      <c r="K228" s="288"/>
      <c r="L228" s="292">
        <f t="shared" ref="L228:M228" ca="1" si="575">I228</f>
        <v>52718</v>
      </c>
      <c r="M228" s="293">
        <f t="shared" si="575"/>
        <v>-88.009039180741183</v>
      </c>
    </row>
    <row r="229" spans="2:13" ht="15.75" customHeight="1">
      <c r="B229" s="288"/>
      <c r="C229" s="288"/>
      <c r="D229" s="288"/>
      <c r="E229" s="289">
        <f t="shared" si="41"/>
        <v>18</v>
      </c>
      <c r="F229" s="292">
        <f t="shared" ca="1" si="6"/>
        <v>52749</v>
      </c>
      <c r="G229" s="293">
        <f>VLOOKUP(E229+1,'Cashflow Details'!$1:$1005,123)/12</f>
        <v>-88.009039180741183</v>
      </c>
      <c r="H229" s="288"/>
      <c r="I229" s="292">
        <f t="shared" ref="I229:J229" ca="1" si="576">F229</f>
        <v>52749</v>
      </c>
      <c r="J229" s="293">
        <f t="shared" si="576"/>
        <v>-88.009039180741183</v>
      </c>
      <c r="K229" s="288"/>
      <c r="L229" s="292">
        <f t="shared" ref="L229:M229" ca="1" si="577">I229</f>
        <v>52749</v>
      </c>
      <c r="M229" s="293">
        <f t="shared" si="577"/>
        <v>-88.009039180741183</v>
      </c>
    </row>
    <row r="230" spans="2:13" ht="15.75" customHeight="1">
      <c r="B230" s="288"/>
      <c r="C230" s="288"/>
      <c r="D230" s="288"/>
      <c r="E230" s="289">
        <f t="shared" si="41"/>
        <v>18</v>
      </c>
      <c r="F230" s="292">
        <f t="shared" ca="1" si="6"/>
        <v>52779</v>
      </c>
      <c r="G230" s="293">
        <f>VLOOKUP(E230+1,'Cashflow Details'!$1:$1005,123)/12</f>
        <v>-88.009039180741183</v>
      </c>
      <c r="H230" s="288"/>
      <c r="I230" s="292">
        <f t="shared" ref="I230:J230" ca="1" si="578">F230</f>
        <v>52779</v>
      </c>
      <c r="J230" s="293">
        <f t="shared" si="578"/>
        <v>-88.009039180741183</v>
      </c>
      <c r="K230" s="288"/>
      <c r="L230" s="292">
        <f t="shared" ref="L230:M230" ca="1" si="579">I230</f>
        <v>52779</v>
      </c>
      <c r="M230" s="293">
        <f t="shared" si="579"/>
        <v>-88.009039180741183</v>
      </c>
    </row>
    <row r="231" spans="2:13" ht="15.75" customHeight="1">
      <c r="B231" s="288"/>
      <c r="C231" s="288"/>
      <c r="D231" s="288"/>
      <c r="E231" s="289">
        <f t="shared" si="41"/>
        <v>18</v>
      </c>
      <c r="F231" s="292">
        <f t="shared" ca="1" si="6"/>
        <v>52810</v>
      </c>
      <c r="G231" s="293">
        <f>VLOOKUP(E231+1,'Cashflow Details'!$1:$1005,123)/12</f>
        <v>-88.009039180741183</v>
      </c>
      <c r="H231" s="288"/>
      <c r="I231" s="292">
        <f t="shared" ref="I231:J231" ca="1" si="580">F231</f>
        <v>52810</v>
      </c>
      <c r="J231" s="293">
        <f t="shared" si="580"/>
        <v>-88.009039180741183</v>
      </c>
      <c r="K231" s="288"/>
      <c r="L231" s="292">
        <f t="shared" ref="L231:M231" ca="1" si="581">I231</f>
        <v>52810</v>
      </c>
      <c r="M231" s="293">
        <f t="shared" si="581"/>
        <v>-88.009039180741183</v>
      </c>
    </row>
    <row r="232" spans="2:13" ht="15.75" customHeight="1">
      <c r="B232" s="288"/>
      <c r="C232" s="288"/>
      <c r="D232" s="288"/>
      <c r="E232" s="289">
        <f t="shared" si="41"/>
        <v>19</v>
      </c>
      <c r="F232" s="292">
        <f t="shared" ca="1" si="6"/>
        <v>52841</v>
      </c>
      <c r="G232" s="293">
        <f>VLOOKUP(E232+1,'Cashflow Details'!$1:$1005,123)/12</f>
        <v>-84.337553297689581</v>
      </c>
      <c r="H232" s="288"/>
      <c r="I232" s="292">
        <f t="shared" ref="I232:J232" ca="1" si="582">F232</f>
        <v>52841</v>
      </c>
      <c r="J232" s="293">
        <f t="shared" si="582"/>
        <v>-84.337553297689581</v>
      </c>
      <c r="K232" s="288"/>
      <c r="L232" s="292">
        <f t="shared" ref="L232:M232" ca="1" si="583">I232</f>
        <v>52841</v>
      </c>
      <c r="M232" s="293">
        <f t="shared" si="583"/>
        <v>-84.337553297689581</v>
      </c>
    </row>
    <row r="233" spans="2:13" ht="15.75" customHeight="1">
      <c r="B233" s="288"/>
      <c r="C233" s="288"/>
      <c r="D233" s="288"/>
      <c r="E233" s="289">
        <f t="shared" si="41"/>
        <v>19</v>
      </c>
      <c r="F233" s="292">
        <f t="shared" ca="1" si="6"/>
        <v>52871</v>
      </c>
      <c r="G233" s="293">
        <f>VLOOKUP(E233+1,'Cashflow Details'!$1:$1005,123)/12</f>
        <v>-84.337553297689581</v>
      </c>
      <c r="H233" s="288"/>
      <c r="I233" s="292">
        <f t="shared" ref="I233:J233" ca="1" si="584">F233</f>
        <v>52871</v>
      </c>
      <c r="J233" s="293">
        <f t="shared" si="584"/>
        <v>-84.337553297689581</v>
      </c>
      <c r="K233" s="288"/>
      <c r="L233" s="292">
        <f t="shared" ref="L233:M233" ca="1" si="585">I233</f>
        <v>52871</v>
      </c>
      <c r="M233" s="293">
        <f t="shared" si="585"/>
        <v>-84.337553297689581</v>
      </c>
    </row>
    <row r="234" spans="2:13" ht="15.75" customHeight="1">
      <c r="B234" s="288"/>
      <c r="C234" s="288"/>
      <c r="D234" s="288"/>
      <c r="E234" s="289">
        <f t="shared" si="41"/>
        <v>19</v>
      </c>
      <c r="F234" s="292">
        <f t="shared" ca="1" si="6"/>
        <v>52902</v>
      </c>
      <c r="G234" s="293">
        <f>VLOOKUP(E234+1,'Cashflow Details'!$1:$1005,123)/12</f>
        <v>-84.337553297689581</v>
      </c>
      <c r="H234" s="288"/>
      <c r="I234" s="292">
        <f t="shared" ref="I234:J234" ca="1" si="586">F234</f>
        <v>52902</v>
      </c>
      <c r="J234" s="293">
        <f t="shared" si="586"/>
        <v>-84.337553297689581</v>
      </c>
      <c r="K234" s="288"/>
      <c r="L234" s="292">
        <f t="shared" ref="L234:M234" ca="1" si="587">I234</f>
        <v>52902</v>
      </c>
      <c r="M234" s="293">
        <f t="shared" si="587"/>
        <v>-84.337553297689581</v>
      </c>
    </row>
    <row r="235" spans="2:13" ht="15.75" customHeight="1">
      <c r="B235" s="288"/>
      <c r="C235" s="288"/>
      <c r="D235" s="288"/>
      <c r="E235" s="289">
        <f t="shared" si="41"/>
        <v>19</v>
      </c>
      <c r="F235" s="292">
        <f t="shared" ca="1" si="6"/>
        <v>52932</v>
      </c>
      <c r="G235" s="293">
        <f>VLOOKUP(E235+1,'Cashflow Details'!$1:$1005,123)/12</f>
        <v>-84.337553297689581</v>
      </c>
      <c r="H235" s="288"/>
      <c r="I235" s="292">
        <f t="shared" ref="I235:J235" ca="1" si="588">F235</f>
        <v>52932</v>
      </c>
      <c r="J235" s="293">
        <f t="shared" si="588"/>
        <v>-84.337553297689581</v>
      </c>
      <c r="K235" s="288"/>
      <c r="L235" s="292">
        <f t="shared" ref="L235:M235" ca="1" si="589">I235</f>
        <v>52932</v>
      </c>
      <c r="M235" s="293">
        <f t="shared" si="589"/>
        <v>-84.337553297689581</v>
      </c>
    </row>
    <row r="236" spans="2:13" ht="15.75" customHeight="1">
      <c r="B236" s="288"/>
      <c r="C236" s="288"/>
      <c r="D236" s="288"/>
      <c r="E236" s="289">
        <f t="shared" si="41"/>
        <v>19</v>
      </c>
      <c r="F236" s="292">
        <f t="shared" ca="1" si="6"/>
        <v>52963</v>
      </c>
      <c r="G236" s="293">
        <f>VLOOKUP(E236+1,'Cashflow Details'!$1:$1005,123)/12</f>
        <v>-84.337553297689581</v>
      </c>
      <c r="H236" s="288"/>
      <c r="I236" s="292">
        <f t="shared" ref="I236:J236" ca="1" si="590">F236</f>
        <v>52963</v>
      </c>
      <c r="J236" s="293">
        <f t="shared" si="590"/>
        <v>-84.337553297689581</v>
      </c>
      <c r="K236" s="288"/>
      <c r="L236" s="292">
        <f t="shared" ref="L236:M236" ca="1" si="591">I236</f>
        <v>52963</v>
      </c>
      <c r="M236" s="293">
        <f t="shared" si="591"/>
        <v>-84.337553297689581</v>
      </c>
    </row>
    <row r="237" spans="2:13" ht="15.75" customHeight="1">
      <c r="B237" s="288"/>
      <c r="C237" s="288"/>
      <c r="D237" s="288"/>
      <c r="E237" s="289">
        <f t="shared" si="41"/>
        <v>19</v>
      </c>
      <c r="F237" s="292">
        <f t="shared" ca="1" si="6"/>
        <v>52994</v>
      </c>
      <c r="G237" s="293">
        <f>VLOOKUP(E237+1,'Cashflow Details'!$1:$1005,123)/12</f>
        <v>-84.337553297689581</v>
      </c>
      <c r="H237" s="288"/>
      <c r="I237" s="292">
        <f t="shared" ref="I237:J237" ca="1" si="592">F237</f>
        <v>52994</v>
      </c>
      <c r="J237" s="293">
        <f t="shared" si="592"/>
        <v>-84.337553297689581</v>
      </c>
      <c r="K237" s="288"/>
      <c r="L237" s="292">
        <f t="shared" ref="L237:M237" ca="1" si="593">I237</f>
        <v>52994</v>
      </c>
      <c r="M237" s="293">
        <f t="shared" si="593"/>
        <v>-84.337553297689581</v>
      </c>
    </row>
    <row r="238" spans="2:13" ht="15.75" customHeight="1">
      <c r="B238" s="288"/>
      <c r="C238" s="288"/>
      <c r="D238" s="288"/>
      <c r="E238" s="289">
        <f t="shared" si="41"/>
        <v>19</v>
      </c>
      <c r="F238" s="292">
        <f t="shared" ca="1" si="6"/>
        <v>53022</v>
      </c>
      <c r="G238" s="293">
        <f>VLOOKUP(E238+1,'Cashflow Details'!$1:$1005,123)/12</f>
        <v>-84.337553297689581</v>
      </c>
      <c r="H238" s="288"/>
      <c r="I238" s="292">
        <f t="shared" ref="I238:J238" ca="1" si="594">F238</f>
        <v>53022</v>
      </c>
      <c r="J238" s="293">
        <f t="shared" si="594"/>
        <v>-84.337553297689581</v>
      </c>
      <c r="K238" s="288"/>
      <c r="L238" s="292">
        <f t="shared" ref="L238:M238" ca="1" si="595">I238</f>
        <v>53022</v>
      </c>
      <c r="M238" s="293">
        <f t="shared" si="595"/>
        <v>-84.337553297689581</v>
      </c>
    </row>
    <row r="239" spans="2:13" ht="15.75" customHeight="1">
      <c r="B239" s="288"/>
      <c r="C239" s="288"/>
      <c r="D239" s="288"/>
      <c r="E239" s="289">
        <f t="shared" si="41"/>
        <v>19</v>
      </c>
      <c r="F239" s="292">
        <f t="shared" ca="1" si="6"/>
        <v>53053</v>
      </c>
      <c r="G239" s="293">
        <f>VLOOKUP(E239+1,'Cashflow Details'!$1:$1005,123)/12</f>
        <v>-84.337553297689581</v>
      </c>
      <c r="H239" s="288"/>
      <c r="I239" s="292">
        <f t="shared" ref="I239:J239" ca="1" si="596">F239</f>
        <v>53053</v>
      </c>
      <c r="J239" s="293">
        <f t="shared" si="596"/>
        <v>-84.337553297689581</v>
      </c>
      <c r="K239" s="288"/>
      <c r="L239" s="292">
        <f t="shared" ref="L239:M239" ca="1" si="597">I239</f>
        <v>53053</v>
      </c>
      <c r="M239" s="293">
        <f t="shared" si="597"/>
        <v>-84.337553297689581</v>
      </c>
    </row>
    <row r="240" spans="2:13" ht="15.75" customHeight="1">
      <c r="B240" s="288"/>
      <c r="C240" s="288"/>
      <c r="D240" s="288"/>
      <c r="E240" s="289">
        <f t="shared" si="41"/>
        <v>19</v>
      </c>
      <c r="F240" s="292">
        <f t="shared" ca="1" si="6"/>
        <v>53083</v>
      </c>
      <c r="G240" s="293">
        <f>VLOOKUP(E240+1,'Cashflow Details'!$1:$1005,123)/12</f>
        <v>-84.337553297689581</v>
      </c>
      <c r="H240" s="288"/>
      <c r="I240" s="292">
        <f t="shared" ref="I240:J240" ca="1" si="598">F240</f>
        <v>53083</v>
      </c>
      <c r="J240" s="293">
        <f t="shared" si="598"/>
        <v>-84.337553297689581</v>
      </c>
      <c r="K240" s="288"/>
      <c r="L240" s="292">
        <f t="shared" ref="L240:M240" ca="1" si="599">I240</f>
        <v>53083</v>
      </c>
      <c r="M240" s="293">
        <f t="shared" si="599"/>
        <v>-84.337553297689581</v>
      </c>
    </row>
    <row r="241" spans="2:13" ht="15.75" customHeight="1">
      <c r="B241" s="288"/>
      <c r="C241" s="288"/>
      <c r="D241" s="288"/>
      <c r="E241" s="289">
        <f t="shared" si="41"/>
        <v>19</v>
      </c>
      <c r="F241" s="292">
        <f t="shared" ca="1" si="6"/>
        <v>53114</v>
      </c>
      <c r="G241" s="293">
        <f>VLOOKUP(E241+1,'Cashflow Details'!$1:$1005,123)/12</f>
        <v>-84.337553297689581</v>
      </c>
      <c r="H241" s="288"/>
      <c r="I241" s="292">
        <f t="shared" ref="I241:J241" ca="1" si="600">F241</f>
        <v>53114</v>
      </c>
      <c r="J241" s="293">
        <f t="shared" si="600"/>
        <v>-84.337553297689581</v>
      </c>
      <c r="K241" s="288"/>
      <c r="L241" s="292">
        <f t="shared" ref="L241:M241" ca="1" si="601">I241</f>
        <v>53114</v>
      </c>
      <c r="M241" s="293">
        <f t="shared" si="601"/>
        <v>-84.337553297689581</v>
      </c>
    </row>
    <row r="242" spans="2:13" ht="15.75" customHeight="1">
      <c r="B242" s="288"/>
      <c r="C242" s="288"/>
      <c r="D242" s="288"/>
      <c r="E242" s="289">
        <f t="shared" si="41"/>
        <v>19</v>
      </c>
      <c r="F242" s="292">
        <f t="shared" ca="1" si="6"/>
        <v>53144</v>
      </c>
      <c r="G242" s="293">
        <f>VLOOKUP(E242+1,'Cashflow Details'!$1:$1005,123)/12</f>
        <v>-84.337553297689581</v>
      </c>
      <c r="H242" s="288"/>
      <c r="I242" s="292">
        <f t="shared" ref="I242:J242" ca="1" si="602">F242</f>
        <v>53144</v>
      </c>
      <c r="J242" s="293">
        <f t="shared" si="602"/>
        <v>-84.337553297689581</v>
      </c>
      <c r="K242" s="288"/>
      <c r="L242" s="292">
        <f t="shared" ref="L242:M242" ca="1" si="603">I242</f>
        <v>53144</v>
      </c>
      <c r="M242" s="293">
        <f t="shared" si="603"/>
        <v>-84.337553297689581</v>
      </c>
    </row>
    <row r="243" spans="2:13" ht="15.75" customHeight="1">
      <c r="B243" s="288"/>
      <c r="C243" s="288"/>
      <c r="D243" s="288"/>
      <c r="E243" s="289">
        <f t="shared" si="41"/>
        <v>19</v>
      </c>
      <c r="F243" s="292">
        <f t="shared" ca="1" si="6"/>
        <v>53175</v>
      </c>
      <c r="G243" s="293">
        <f>VLOOKUP(E243+1,'Cashflow Details'!$1:$1005,123)/12</f>
        <v>-84.337553297689581</v>
      </c>
      <c r="H243" s="288"/>
      <c r="I243" s="292">
        <f t="shared" ref="I243:J243" ca="1" si="604">F243</f>
        <v>53175</v>
      </c>
      <c r="J243" s="293">
        <f t="shared" si="604"/>
        <v>-84.337553297689581</v>
      </c>
      <c r="K243" s="288"/>
      <c r="L243" s="292">
        <f t="shared" ref="L243:M243" ca="1" si="605">I243</f>
        <v>53175</v>
      </c>
      <c r="M243" s="293">
        <f t="shared" si="605"/>
        <v>-84.337553297689581</v>
      </c>
    </row>
    <row r="244" spans="2:13" ht="15.75" customHeight="1">
      <c r="B244" s="288"/>
      <c r="C244" s="288"/>
      <c r="D244" s="288"/>
      <c r="E244" s="289">
        <f t="shared" si="41"/>
        <v>20</v>
      </c>
      <c r="F244" s="292">
        <f t="shared" ca="1" si="6"/>
        <v>53206</v>
      </c>
      <c r="G244" s="293">
        <f>VLOOKUP(E244+1,'Cashflow Details'!$1:$1005,123)/12</f>
        <v>-80.710971030310091</v>
      </c>
      <c r="H244" s="288"/>
      <c r="I244" s="292">
        <f t="shared" ref="I244:J244" ca="1" si="606">F244</f>
        <v>53206</v>
      </c>
      <c r="J244" s="293">
        <f t="shared" si="606"/>
        <v>-80.710971030310091</v>
      </c>
      <c r="K244" s="288"/>
      <c r="L244" s="292">
        <f ca="1">I244</f>
        <v>53206</v>
      </c>
      <c r="M244" s="293">
        <f>'Immobilie als Kapitalanlage'!J51*1000</f>
        <v>90000000</v>
      </c>
    </row>
    <row r="245" spans="2:13" ht="15.75" customHeight="1">
      <c r="B245" s="288"/>
      <c r="C245" s="288"/>
      <c r="D245" s="288"/>
      <c r="E245" s="289">
        <f t="shared" si="41"/>
        <v>20</v>
      </c>
      <c r="F245" s="292">
        <f t="shared" ca="1" si="6"/>
        <v>53236</v>
      </c>
      <c r="G245" s="293">
        <f>VLOOKUP(E245+1,'Cashflow Details'!$1:$1005,123)/12</f>
        <v>-80.710971030310091</v>
      </c>
      <c r="H245" s="288"/>
      <c r="I245" s="292">
        <f t="shared" ref="I245:J245" ca="1" si="607">F245</f>
        <v>53236</v>
      </c>
      <c r="J245" s="293">
        <f t="shared" si="607"/>
        <v>-80.710971030310091</v>
      </c>
      <c r="K245" s="288"/>
      <c r="L245" s="288"/>
      <c r="M245" s="288"/>
    </row>
    <row r="246" spans="2:13" ht="15.75" customHeight="1">
      <c r="B246" s="288"/>
      <c r="C246" s="288"/>
      <c r="D246" s="288"/>
      <c r="E246" s="289">
        <f t="shared" si="41"/>
        <v>20</v>
      </c>
      <c r="F246" s="292">
        <f t="shared" ca="1" si="6"/>
        <v>53267</v>
      </c>
      <c r="G246" s="293">
        <f>VLOOKUP(E246+1,'Cashflow Details'!$1:$1005,123)/12</f>
        <v>-80.710971030310091</v>
      </c>
      <c r="H246" s="288"/>
      <c r="I246" s="292">
        <f t="shared" ref="I246:J246" ca="1" si="608">F246</f>
        <v>53267</v>
      </c>
      <c r="J246" s="293">
        <f t="shared" si="608"/>
        <v>-80.710971030310091</v>
      </c>
      <c r="K246" s="288"/>
      <c r="L246" s="288"/>
      <c r="M246" s="288"/>
    </row>
    <row r="247" spans="2:13" ht="15.75" customHeight="1">
      <c r="B247" s="288"/>
      <c r="C247" s="288"/>
      <c r="D247" s="288"/>
      <c r="E247" s="289">
        <f t="shared" si="41"/>
        <v>20</v>
      </c>
      <c r="F247" s="292">
        <f t="shared" ca="1" si="6"/>
        <v>53297</v>
      </c>
      <c r="G247" s="293">
        <f>VLOOKUP(E247+1,'Cashflow Details'!$1:$1005,123)/12</f>
        <v>-80.710971030310091</v>
      </c>
      <c r="H247" s="288"/>
      <c r="I247" s="292">
        <f t="shared" ref="I247:J247" ca="1" si="609">F247</f>
        <v>53297</v>
      </c>
      <c r="J247" s="293">
        <f t="shared" si="609"/>
        <v>-80.710971030310091</v>
      </c>
      <c r="K247" s="288"/>
      <c r="L247" s="288"/>
      <c r="M247" s="288"/>
    </row>
    <row r="248" spans="2:13" ht="15.75" customHeight="1">
      <c r="B248" s="288"/>
      <c r="C248" s="288"/>
      <c r="D248" s="288"/>
      <c r="E248" s="289">
        <f t="shared" si="41"/>
        <v>20</v>
      </c>
      <c r="F248" s="292">
        <f t="shared" ca="1" si="6"/>
        <v>53328</v>
      </c>
      <c r="G248" s="293">
        <f>VLOOKUP(E248+1,'Cashflow Details'!$1:$1005,123)/12</f>
        <v>-80.710971030310091</v>
      </c>
      <c r="H248" s="288"/>
      <c r="I248" s="292">
        <f t="shared" ref="I248:J248" ca="1" si="610">F248</f>
        <v>53328</v>
      </c>
      <c r="J248" s="293">
        <f t="shared" si="610"/>
        <v>-80.710971030310091</v>
      </c>
      <c r="K248" s="288"/>
      <c r="L248" s="288"/>
      <c r="M248" s="288"/>
    </row>
    <row r="249" spans="2:13" ht="15.75" customHeight="1">
      <c r="B249" s="288"/>
      <c r="C249" s="288"/>
      <c r="D249" s="288"/>
      <c r="E249" s="289">
        <f t="shared" si="41"/>
        <v>20</v>
      </c>
      <c r="F249" s="292">
        <f t="shared" ca="1" si="6"/>
        <v>53359</v>
      </c>
      <c r="G249" s="293">
        <f>VLOOKUP(E249+1,'Cashflow Details'!$1:$1005,123)/12</f>
        <v>-80.710971030310091</v>
      </c>
      <c r="H249" s="288"/>
      <c r="I249" s="292">
        <f t="shared" ref="I249:J249" ca="1" si="611">F249</f>
        <v>53359</v>
      </c>
      <c r="J249" s="293">
        <f t="shared" si="611"/>
        <v>-80.710971030310091</v>
      </c>
      <c r="K249" s="288"/>
      <c r="L249" s="288"/>
      <c r="M249" s="288"/>
    </row>
    <row r="250" spans="2:13" ht="15.75" customHeight="1">
      <c r="B250" s="288"/>
      <c r="C250" s="288"/>
      <c r="D250" s="288"/>
      <c r="E250" s="289">
        <f t="shared" si="41"/>
        <v>20</v>
      </c>
      <c r="F250" s="292">
        <f t="shared" ca="1" si="6"/>
        <v>53387</v>
      </c>
      <c r="G250" s="293">
        <f>VLOOKUP(E250+1,'Cashflow Details'!$1:$1005,123)/12</f>
        <v>-80.710971030310091</v>
      </c>
      <c r="H250" s="288"/>
      <c r="I250" s="292">
        <f t="shared" ref="I250:J250" ca="1" si="612">F250</f>
        <v>53387</v>
      </c>
      <c r="J250" s="293">
        <f t="shared" si="612"/>
        <v>-80.710971030310091</v>
      </c>
      <c r="K250" s="288"/>
      <c r="L250" s="288"/>
      <c r="M250" s="288"/>
    </row>
    <row r="251" spans="2:13" ht="15.75" customHeight="1">
      <c r="B251" s="288"/>
      <c r="C251" s="288"/>
      <c r="D251" s="288"/>
      <c r="E251" s="289">
        <f t="shared" si="41"/>
        <v>20</v>
      </c>
      <c r="F251" s="292">
        <f t="shared" ca="1" si="6"/>
        <v>53418</v>
      </c>
      <c r="G251" s="293">
        <f>VLOOKUP(E251+1,'Cashflow Details'!$1:$1005,123)/12</f>
        <v>-80.710971030310091</v>
      </c>
      <c r="H251" s="288"/>
      <c r="I251" s="292">
        <f t="shared" ref="I251:J251" ca="1" si="613">F251</f>
        <v>53418</v>
      </c>
      <c r="J251" s="293">
        <f t="shared" si="613"/>
        <v>-80.710971030310091</v>
      </c>
      <c r="K251" s="288"/>
      <c r="L251" s="288"/>
      <c r="M251" s="288"/>
    </row>
    <row r="252" spans="2:13" ht="15.75" customHeight="1">
      <c r="B252" s="288"/>
      <c r="C252" s="288"/>
      <c r="D252" s="288"/>
      <c r="E252" s="289">
        <f t="shared" si="41"/>
        <v>20</v>
      </c>
      <c r="F252" s="292">
        <f t="shared" ca="1" si="6"/>
        <v>53448</v>
      </c>
      <c r="G252" s="293">
        <f>VLOOKUP(E252+1,'Cashflow Details'!$1:$1005,123)/12</f>
        <v>-80.710971030310091</v>
      </c>
      <c r="H252" s="288"/>
      <c r="I252" s="292">
        <f t="shared" ref="I252:J252" ca="1" si="614">F252</f>
        <v>53448</v>
      </c>
      <c r="J252" s="293">
        <f t="shared" si="614"/>
        <v>-80.710971030310091</v>
      </c>
      <c r="K252" s="288"/>
      <c r="L252" s="288"/>
      <c r="M252" s="288"/>
    </row>
    <row r="253" spans="2:13" ht="15.75" customHeight="1">
      <c r="B253" s="288"/>
      <c r="C253" s="288"/>
      <c r="D253" s="288"/>
      <c r="E253" s="289">
        <f t="shared" si="41"/>
        <v>20</v>
      </c>
      <c r="F253" s="292">
        <f t="shared" ca="1" si="6"/>
        <v>53479</v>
      </c>
      <c r="G253" s="293">
        <f>VLOOKUP(E253+1,'Cashflow Details'!$1:$1005,123)/12</f>
        <v>-80.710971030310091</v>
      </c>
      <c r="H253" s="288"/>
      <c r="I253" s="292">
        <f t="shared" ref="I253:J253" ca="1" si="615">F253</f>
        <v>53479</v>
      </c>
      <c r="J253" s="293">
        <f t="shared" si="615"/>
        <v>-80.710971030310091</v>
      </c>
      <c r="K253" s="288"/>
      <c r="L253" s="288"/>
      <c r="M253" s="288"/>
    </row>
    <row r="254" spans="2:13" ht="15.75" customHeight="1">
      <c r="B254" s="288"/>
      <c r="C254" s="288"/>
      <c r="D254" s="288"/>
      <c r="E254" s="289">
        <f t="shared" si="41"/>
        <v>20</v>
      </c>
      <c r="F254" s="292">
        <f t="shared" ca="1" si="6"/>
        <v>53509</v>
      </c>
      <c r="G254" s="293">
        <f>VLOOKUP(E254+1,'Cashflow Details'!$1:$1005,123)/12</f>
        <v>-80.710971030310091</v>
      </c>
      <c r="H254" s="288"/>
      <c r="I254" s="292">
        <f t="shared" ref="I254:J254" ca="1" si="616">F254</f>
        <v>53509</v>
      </c>
      <c r="J254" s="293">
        <f t="shared" si="616"/>
        <v>-80.710971030310091</v>
      </c>
      <c r="K254" s="288"/>
      <c r="L254" s="288"/>
      <c r="M254" s="288"/>
    </row>
    <row r="255" spans="2:13" ht="15.75" customHeight="1">
      <c r="B255" s="288"/>
      <c r="C255" s="288"/>
      <c r="D255" s="288"/>
      <c r="E255" s="289">
        <f t="shared" si="41"/>
        <v>20</v>
      </c>
      <c r="F255" s="292">
        <f t="shared" ca="1" si="6"/>
        <v>53540</v>
      </c>
      <c r="G255" s="293">
        <f>VLOOKUP(E255+1,'Cashflow Details'!$1:$1005,123)/12</f>
        <v>-80.710971030310091</v>
      </c>
      <c r="H255" s="288"/>
      <c r="I255" s="292">
        <f t="shared" ref="I255:J255" ca="1" si="617">F255</f>
        <v>53540</v>
      </c>
      <c r="J255" s="293">
        <f t="shared" si="617"/>
        <v>-80.710971030310091</v>
      </c>
      <c r="K255" s="288"/>
      <c r="L255" s="288"/>
      <c r="M255" s="288"/>
    </row>
    <row r="256" spans="2:13" ht="15.75" customHeight="1">
      <c r="B256" s="288"/>
      <c r="C256" s="288"/>
      <c r="D256" s="288"/>
      <c r="E256" s="289">
        <f t="shared" si="41"/>
        <v>21</v>
      </c>
      <c r="F256" s="292">
        <f t="shared" ca="1" si="6"/>
        <v>53571</v>
      </c>
      <c r="G256" s="293">
        <f>VLOOKUP(E256+1,'Cashflow Details'!$1:$1005,123)/12</f>
        <v>-77.036857117583011</v>
      </c>
      <c r="H256" s="288"/>
      <c r="I256" s="292">
        <f t="shared" ref="I256:J256" ca="1" si="618">F256</f>
        <v>53571</v>
      </c>
      <c r="J256" s="293">
        <f t="shared" si="618"/>
        <v>-77.036857117583011</v>
      </c>
      <c r="K256" s="288"/>
      <c r="L256" s="288"/>
      <c r="M256" s="288"/>
    </row>
    <row r="257" spans="2:10" ht="15.75" customHeight="1">
      <c r="B257" s="288"/>
      <c r="C257" s="288"/>
      <c r="D257" s="288"/>
      <c r="E257" s="289">
        <f t="shared" si="41"/>
        <v>21</v>
      </c>
      <c r="F257" s="292">
        <f t="shared" ca="1" si="6"/>
        <v>53601</v>
      </c>
      <c r="G257" s="293">
        <f>VLOOKUP(E257+1,'Cashflow Details'!$1:$1005,123)/12</f>
        <v>-77.036857117583011</v>
      </c>
      <c r="H257" s="288"/>
      <c r="I257" s="292">
        <f t="shared" ref="I257:J257" ca="1" si="619">F257</f>
        <v>53601</v>
      </c>
      <c r="J257" s="293">
        <f t="shared" si="619"/>
        <v>-77.036857117583011</v>
      </c>
    </row>
    <row r="258" spans="2:10" ht="15.75" customHeight="1">
      <c r="B258" s="288"/>
      <c r="C258" s="288"/>
      <c r="D258" s="288"/>
      <c r="E258" s="289">
        <f t="shared" si="41"/>
        <v>21</v>
      </c>
      <c r="F258" s="292">
        <f t="shared" ca="1" si="6"/>
        <v>53632</v>
      </c>
      <c r="G258" s="293">
        <f>VLOOKUP(E258+1,'Cashflow Details'!$1:$1005,123)/12</f>
        <v>-77.036857117583011</v>
      </c>
      <c r="H258" s="288"/>
      <c r="I258" s="292">
        <f t="shared" ref="I258:J258" ca="1" si="620">F258</f>
        <v>53632</v>
      </c>
      <c r="J258" s="293">
        <f t="shared" si="620"/>
        <v>-77.036857117583011</v>
      </c>
    </row>
    <row r="259" spans="2:10" ht="15.75" customHeight="1">
      <c r="B259" s="288"/>
      <c r="C259" s="288"/>
      <c r="D259" s="288"/>
      <c r="E259" s="289">
        <f t="shared" si="41"/>
        <v>21</v>
      </c>
      <c r="F259" s="292">
        <f t="shared" ca="1" si="6"/>
        <v>53662</v>
      </c>
      <c r="G259" s="293">
        <f>VLOOKUP(E259+1,'Cashflow Details'!$1:$1005,123)/12</f>
        <v>-77.036857117583011</v>
      </c>
      <c r="H259" s="288"/>
      <c r="I259" s="292">
        <f t="shared" ref="I259:J259" ca="1" si="621">F259</f>
        <v>53662</v>
      </c>
      <c r="J259" s="293">
        <f t="shared" si="621"/>
        <v>-77.036857117583011</v>
      </c>
    </row>
    <row r="260" spans="2:10" ht="15.75" customHeight="1">
      <c r="B260" s="288"/>
      <c r="C260" s="288"/>
      <c r="D260" s="288"/>
      <c r="E260" s="289">
        <f t="shared" si="41"/>
        <v>21</v>
      </c>
      <c r="F260" s="292">
        <f t="shared" ref="F260:F484" ca="1" si="622">DATE(YEAR(F259),MONTH(F259)+1,DAY(F259))</f>
        <v>53693</v>
      </c>
      <c r="G260" s="293">
        <f>VLOOKUP(E260+1,'Cashflow Details'!$1:$1005,123)/12</f>
        <v>-77.036857117583011</v>
      </c>
      <c r="H260" s="288"/>
      <c r="I260" s="292">
        <f t="shared" ref="I260:J260" ca="1" si="623">F260</f>
        <v>53693</v>
      </c>
      <c r="J260" s="293">
        <f t="shared" si="623"/>
        <v>-77.036857117583011</v>
      </c>
    </row>
    <row r="261" spans="2:10" ht="15.75" customHeight="1">
      <c r="B261" s="288"/>
      <c r="C261" s="288"/>
      <c r="D261" s="288"/>
      <c r="E261" s="289">
        <f t="shared" si="41"/>
        <v>21</v>
      </c>
      <c r="F261" s="292">
        <f t="shared" ca="1" si="622"/>
        <v>53724</v>
      </c>
      <c r="G261" s="293">
        <f>VLOOKUP(E261+1,'Cashflow Details'!$1:$1005,123)/12</f>
        <v>-77.036857117583011</v>
      </c>
      <c r="H261" s="288"/>
      <c r="I261" s="292">
        <f t="shared" ref="I261:J261" ca="1" si="624">F261</f>
        <v>53724</v>
      </c>
      <c r="J261" s="293">
        <f t="shared" si="624"/>
        <v>-77.036857117583011</v>
      </c>
    </row>
    <row r="262" spans="2:10" ht="15.75" customHeight="1">
      <c r="B262" s="288"/>
      <c r="C262" s="288"/>
      <c r="D262" s="288"/>
      <c r="E262" s="289">
        <f t="shared" si="41"/>
        <v>21</v>
      </c>
      <c r="F262" s="292">
        <f t="shared" ca="1" si="622"/>
        <v>53752</v>
      </c>
      <c r="G262" s="293">
        <f>VLOOKUP(E262+1,'Cashflow Details'!$1:$1005,123)/12</f>
        <v>-77.036857117583011</v>
      </c>
      <c r="H262" s="288"/>
      <c r="I262" s="292">
        <f t="shared" ref="I262:J262" ca="1" si="625">F262</f>
        <v>53752</v>
      </c>
      <c r="J262" s="293">
        <f t="shared" si="625"/>
        <v>-77.036857117583011</v>
      </c>
    </row>
    <row r="263" spans="2:10" ht="15.75" customHeight="1">
      <c r="B263" s="288"/>
      <c r="C263" s="288"/>
      <c r="D263" s="288"/>
      <c r="E263" s="289">
        <f t="shared" si="41"/>
        <v>21</v>
      </c>
      <c r="F263" s="292">
        <f t="shared" ca="1" si="622"/>
        <v>53783</v>
      </c>
      <c r="G263" s="293">
        <f>VLOOKUP(E263+1,'Cashflow Details'!$1:$1005,123)/12</f>
        <v>-77.036857117583011</v>
      </c>
      <c r="H263" s="288"/>
      <c r="I263" s="292">
        <f t="shared" ref="I263:J263" ca="1" si="626">F263</f>
        <v>53783</v>
      </c>
      <c r="J263" s="293">
        <f t="shared" si="626"/>
        <v>-77.036857117583011</v>
      </c>
    </row>
    <row r="264" spans="2:10" ht="15.75" customHeight="1">
      <c r="B264" s="288"/>
      <c r="C264" s="288"/>
      <c r="D264" s="288"/>
      <c r="E264" s="289">
        <f t="shared" si="41"/>
        <v>21</v>
      </c>
      <c r="F264" s="292">
        <f t="shared" ca="1" si="622"/>
        <v>53813</v>
      </c>
      <c r="G264" s="293">
        <f>VLOOKUP(E264+1,'Cashflow Details'!$1:$1005,123)/12</f>
        <v>-77.036857117583011</v>
      </c>
      <c r="H264" s="288"/>
      <c r="I264" s="292">
        <f t="shared" ref="I264:J264" ca="1" si="627">F264</f>
        <v>53813</v>
      </c>
      <c r="J264" s="293">
        <f t="shared" si="627"/>
        <v>-77.036857117583011</v>
      </c>
    </row>
    <row r="265" spans="2:10" ht="15.75" customHeight="1">
      <c r="B265" s="288"/>
      <c r="C265" s="288"/>
      <c r="D265" s="288"/>
      <c r="E265" s="289">
        <f t="shared" si="41"/>
        <v>21</v>
      </c>
      <c r="F265" s="292">
        <f t="shared" ca="1" si="622"/>
        <v>53844</v>
      </c>
      <c r="G265" s="293">
        <f>VLOOKUP(E265+1,'Cashflow Details'!$1:$1005,123)/12</f>
        <v>-77.036857117583011</v>
      </c>
      <c r="H265" s="288"/>
      <c r="I265" s="292">
        <f t="shared" ref="I265:J265" ca="1" si="628">F265</f>
        <v>53844</v>
      </c>
      <c r="J265" s="293">
        <f t="shared" si="628"/>
        <v>-77.036857117583011</v>
      </c>
    </row>
    <row r="266" spans="2:10" ht="15.75" customHeight="1">
      <c r="B266" s="288"/>
      <c r="C266" s="288"/>
      <c r="D266" s="288"/>
      <c r="E266" s="289">
        <f t="shared" si="41"/>
        <v>21</v>
      </c>
      <c r="F266" s="292">
        <f t="shared" ca="1" si="622"/>
        <v>53874</v>
      </c>
      <c r="G266" s="293">
        <f>VLOOKUP(E266+1,'Cashflow Details'!$1:$1005,123)/12</f>
        <v>-77.036857117583011</v>
      </c>
      <c r="H266" s="288"/>
      <c r="I266" s="292">
        <f t="shared" ref="I266:J266" ca="1" si="629">F266</f>
        <v>53874</v>
      </c>
      <c r="J266" s="293">
        <f t="shared" si="629"/>
        <v>-77.036857117583011</v>
      </c>
    </row>
    <row r="267" spans="2:10" ht="15.75" customHeight="1">
      <c r="B267" s="288"/>
      <c r="C267" s="288"/>
      <c r="D267" s="288"/>
      <c r="E267" s="289">
        <f t="shared" si="41"/>
        <v>21</v>
      </c>
      <c r="F267" s="292">
        <f t="shared" ca="1" si="622"/>
        <v>53905</v>
      </c>
      <c r="G267" s="293">
        <f>VLOOKUP(E267+1,'Cashflow Details'!$1:$1005,123)/12</f>
        <v>-77.036857117583011</v>
      </c>
      <c r="H267" s="288"/>
      <c r="I267" s="292">
        <f t="shared" ref="I267:J267" ca="1" si="630">F267</f>
        <v>53905</v>
      </c>
      <c r="J267" s="293">
        <f t="shared" si="630"/>
        <v>-77.036857117583011</v>
      </c>
    </row>
    <row r="268" spans="2:10" ht="15.75" customHeight="1">
      <c r="B268" s="288"/>
      <c r="C268" s="288"/>
      <c r="D268" s="288"/>
      <c r="E268" s="289">
        <f t="shared" si="41"/>
        <v>22</v>
      </c>
      <c r="F268" s="292">
        <f t="shared" ca="1" si="622"/>
        <v>53936</v>
      </c>
      <c r="G268" s="293">
        <f>VLOOKUP(E268+1,'Cashflow Details'!$1:$1005,123)/12</f>
        <v>-73.639260926601153</v>
      </c>
      <c r="H268" s="288"/>
      <c r="I268" s="292">
        <f t="shared" ref="I268:J268" ca="1" si="631">F268</f>
        <v>53936</v>
      </c>
      <c r="J268" s="293">
        <f t="shared" si="631"/>
        <v>-73.639260926601153</v>
      </c>
    </row>
    <row r="269" spans="2:10" ht="15.75" customHeight="1">
      <c r="B269" s="288"/>
      <c r="C269" s="288"/>
      <c r="D269" s="288"/>
      <c r="E269" s="289">
        <f t="shared" si="41"/>
        <v>22</v>
      </c>
      <c r="F269" s="292">
        <f t="shared" ca="1" si="622"/>
        <v>53966</v>
      </c>
      <c r="G269" s="293">
        <f>VLOOKUP(E269+1,'Cashflow Details'!$1:$1005,123)/12</f>
        <v>-73.639260926601153</v>
      </c>
      <c r="H269" s="288"/>
      <c r="I269" s="292">
        <f t="shared" ref="I269:J269" ca="1" si="632">F269</f>
        <v>53966</v>
      </c>
      <c r="J269" s="293">
        <f t="shared" si="632"/>
        <v>-73.639260926601153</v>
      </c>
    </row>
    <row r="270" spans="2:10" ht="15.75" customHeight="1">
      <c r="B270" s="288"/>
      <c r="C270" s="288"/>
      <c r="D270" s="288"/>
      <c r="E270" s="289">
        <f t="shared" si="41"/>
        <v>22</v>
      </c>
      <c r="F270" s="292">
        <f t="shared" ca="1" si="622"/>
        <v>53997</v>
      </c>
      <c r="G270" s="293">
        <f>VLOOKUP(E270+1,'Cashflow Details'!$1:$1005,123)/12</f>
        <v>-73.639260926601153</v>
      </c>
      <c r="H270" s="288"/>
      <c r="I270" s="292">
        <f t="shared" ref="I270:J270" ca="1" si="633">F270</f>
        <v>53997</v>
      </c>
      <c r="J270" s="293">
        <f t="shared" si="633"/>
        <v>-73.639260926601153</v>
      </c>
    </row>
    <row r="271" spans="2:10" ht="15.75" customHeight="1">
      <c r="B271" s="288"/>
      <c r="C271" s="288"/>
      <c r="D271" s="288"/>
      <c r="E271" s="289">
        <f t="shared" ref="E271:E484" si="634">E259+1</f>
        <v>22</v>
      </c>
      <c r="F271" s="292">
        <f t="shared" ca="1" si="622"/>
        <v>54027</v>
      </c>
      <c r="G271" s="293">
        <f>VLOOKUP(E271+1,'Cashflow Details'!$1:$1005,123)/12</f>
        <v>-73.639260926601153</v>
      </c>
      <c r="H271" s="288"/>
      <c r="I271" s="292">
        <f t="shared" ref="I271:J271" ca="1" si="635">F271</f>
        <v>54027</v>
      </c>
      <c r="J271" s="293">
        <f t="shared" si="635"/>
        <v>-73.639260926601153</v>
      </c>
    </row>
    <row r="272" spans="2:10" ht="15.75" customHeight="1">
      <c r="B272" s="288"/>
      <c r="C272" s="288"/>
      <c r="D272" s="288"/>
      <c r="E272" s="289">
        <f t="shared" si="634"/>
        <v>22</v>
      </c>
      <c r="F272" s="292">
        <f t="shared" ca="1" si="622"/>
        <v>54058</v>
      </c>
      <c r="G272" s="293">
        <f>VLOOKUP(E272+1,'Cashflow Details'!$1:$1005,123)/12</f>
        <v>-73.639260926601153</v>
      </c>
      <c r="H272" s="288"/>
      <c r="I272" s="292">
        <f t="shared" ref="I272:J272" ca="1" si="636">F272</f>
        <v>54058</v>
      </c>
      <c r="J272" s="293">
        <f t="shared" si="636"/>
        <v>-73.639260926601153</v>
      </c>
    </row>
    <row r="273" spans="2:10" ht="15.75" customHeight="1">
      <c r="B273" s="288"/>
      <c r="C273" s="288"/>
      <c r="D273" s="288"/>
      <c r="E273" s="289">
        <f t="shared" si="634"/>
        <v>22</v>
      </c>
      <c r="F273" s="292">
        <f t="shared" ca="1" si="622"/>
        <v>54089</v>
      </c>
      <c r="G273" s="293">
        <f>VLOOKUP(E273+1,'Cashflow Details'!$1:$1005,123)/12</f>
        <v>-73.639260926601153</v>
      </c>
      <c r="H273" s="288"/>
      <c r="I273" s="292">
        <f t="shared" ref="I273:J273" ca="1" si="637">F273</f>
        <v>54089</v>
      </c>
      <c r="J273" s="293">
        <f t="shared" si="637"/>
        <v>-73.639260926601153</v>
      </c>
    </row>
    <row r="274" spans="2:10" ht="15.75" customHeight="1">
      <c r="B274" s="288"/>
      <c r="C274" s="288"/>
      <c r="D274" s="288"/>
      <c r="E274" s="289">
        <f t="shared" si="634"/>
        <v>22</v>
      </c>
      <c r="F274" s="292">
        <f t="shared" ca="1" si="622"/>
        <v>54118</v>
      </c>
      <c r="G274" s="293">
        <f>VLOOKUP(E274+1,'Cashflow Details'!$1:$1005,123)/12</f>
        <v>-73.639260926601153</v>
      </c>
      <c r="H274" s="288"/>
      <c r="I274" s="292">
        <f t="shared" ref="I274:J274" ca="1" si="638">F274</f>
        <v>54118</v>
      </c>
      <c r="J274" s="293">
        <f t="shared" si="638"/>
        <v>-73.639260926601153</v>
      </c>
    </row>
    <row r="275" spans="2:10" ht="15.75" customHeight="1">
      <c r="B275" s="288"/>
      <c r="C275" s="288"/>
      <c r="D275" s="288"/>
      <c r="E275" s="289">
        <f t="shared" si="634"/>
        <v>22</v>
      </c>
      <c r="F275" s="292">
        <f t="shared" ca="1" si="622"/>
        <v>54149</v>
      </c>
      <c r="G275" s="293">
        <f>VLOOKUP(E275+1,'Cashflow Details'!$1:$1005,123)/12</f>
        <v>-73.639260926601153</v>
      </c>
      <c r="H275" s="288"/>
      <c r="I275" s="292">
        <f t="shared" ref="I275:J275" ca="1" si="639">F275</f>
        <v>54149</v>
      </c>
      <c r="J275" s="293">
        <f t="shared" si="639"/>
        <v>-73.639260926601153</v>
      </c>
    </row>
    <row r="276" spans="2:10" ht="15.75" customHeight="1">
      <c r="B276" s="288"/>
      <c r="C276" s="288"/>
      <c r="D276" s="288"/>
      <c r="E276" s="289">
        <f t="shared" si="634"/>
        <v>22</v>
      </c>
      <c r="F276" s="292">
        <f t="shared" ca="1" si="622"/>
        <v>54179</v>
      </c>
      <c r="G276" s="293">
        <f>VLOOKUP(E276+1,'Cashflow Details'!$1:$1005,123)/12</f>
        <v>-73.639260926601153</v>
      </c>
      <c r="H276" s="288"/>
      <c r="I276" s="292">
        <f t="shared" ref="I276:J276" ca="1" si="640">F276</f>
        <v>54179</v>
      </c>
      <c r="J276" s="293">
        <f t="shared" si="640"/>
        <v>-73.639260926601153</v>
      </c>
    </row>
    <row r="277" spans="2:10" ht="15.75" customHeight="1">
      <c r="B277" s="288"/>
      <c r="C277" s="288"/>
      <c r="D277" s="288"/>
      <c r="E277" s="289">
        <f t="shared" si="634"/>
        <v>22</v>
      </c>
      <c r="F277" s="292">
        <f t="shared" ca="1" si="622"/>
        <v>54210</v>
      </c>
      <c r="G277" s="293">
        <f>VLOOKUP(E277+1,'Cashflow Details'!$1:$1005,123)/12</f>
        <v>-73.639260926601153</v>
      </c>
      <c r="H277" s="288"/>
      <c r="I277" s="292">
        <f t="shared" ref="I277:J277" ca="1" si="641">F277</f>
        <v>54210</v>
      </c>
      <c r="J277" s="293">
        <f t="shared" si="641"/>
        <v>-73.639260926601153</v>
      </c>
    </row>
    <row r="278" spans="2:10" ht="15.75" customHeight="1">
      <c r="B278" s="288"/>
      <c r="C278" s="288"/>
      <c r="D278" s="288"/>
      <c r="E278" s="289">
        <f t="shared" si="634"/>
        <v>22</v>
      </c>
      <c r="F278" s="292">
        <f t="shared" ca="1" si="622"/>
        <v>54240</v>
      </c>
      <c r="G278" s="293">
        <f>VLOOKUP(E278+1,'Cashflow Details'!$1:$1005,123)/12</f>
        <v>-73.639260926601153</v>
      </c>
      <c r="H278" s="288"/>
      <c r="I278" s="292">
        <f t="shared" ref="I278:J278" ca="1" si="642">F278</f>
        <v>54240</v>
      </c>
      <c r="J278" s="293">
        <f t="shared" si="642"/>
        <v>-73.639260926601153</v>
      </c>
    </row>
    <row r="279" spans="2:10" ht="15.75" customHeight="1">
      <c r="B279" s="288"/>
      <c r="C279" s="288"/>
      <c r="D279" s="288"/>
      <c r="E279" s="289">
        <f t="shared" si="634"/>
        <v>22</v>
      </c>
      <c r="F279" s="292">
        <f t="shared" ca="1" si="622"/>
        <v>54271</v>
      </c>
      <c r="G279" s="293">
        <f>VLOOKUP(E279+1,'Cashflow Details'!$1:$1005,123)/12</f>
        <v>-73.639260926601153</v>
      </c>
      <c r="H279" s="288"/>
      <c r="I279" s="292">
        <f t="shared" ref="I279:J279" ca="1" si="643">F279</f>
        <v>54271</v>
      </c>
      <c r="J279" s="293">
        <f t="shared" si="643"/>
        <v>-73.639260926601153</v>
      </c>
    </row>
    <row r="280" spans="2:10" ht="15.75" customHeight="1">
      <c r="B280" s="288"/>
      <c r="C280" s="288"/>
      <c r="D280" s="288"/>
      <c r="E280" s="289">
        <f t="shared" si="634"/>
        <v>23</v>
      </c>
      <c r="F280" s="292">
        <f t="shared" ca="1" si="622"/>
        <v>54302</v>
      </c>
      <c r="G280" s="293">
        <f>VLOOKUP(E280+1,'Cashflow Details'!$1:$1005,123)/12</f>
        <v>-70.175379478466766</v>
      </c>
      <c r="H280" s="288"/>
      <c r="I280" s="292">
        <f t="shared" ref="I280:J280" ca="1" si="644">F280</f>
        <v>54302</v>
      </c>
      <c r="J280" s="293">
        <f t="shared" si="644"/>
        <v>-70.175379478466766</v>
      </c>
    </row>
    <row r="281" spans="2:10" ht="15.75" customHeight="1">
      <c r="B281" s="288"/>
      <c r="C281" s="288"/>
      <c r="D281" s="288"/>
      <c r="E281" s="289">
        <f t="shared" si="634"/>
        <v>23</v>
      </c>
      <c r="F281" s="292">
        <f t="shared" ca="1" si="622"/>
        <v>54332</v>
      </c>
      <c r="G281" s="293">
        <f>VLOOKUP(E281+1,'Cashflow Details'!$1:$1005,123)/12</f>
        <v>-70.175379478466766</v>
      </c>
      <c r="H281" s="288"/>
      <c r="I281" s="292">
        <f t="shared" ref="I281:J281" ca="1" si="645">F281</f>
        <v>54332</v>
      </c>
      <c r="J281" s="293">
        <f t="shared" si="645"/>
        <v>-70.175379478466766</v>
      </c>
    </row>
    <row r="282" spans="2:10" ht="15.75" customHeight="1">
      <c r="B282" s="288"/>
      <c r="C282" s="288"/>
      <c r="D282" s="288"/>
      <c r="E282" s="289">
        <f t="shared" si="634"/>
        <v>23</v>
      </c>
      <c r="F282" s="292">
        <f t="shared" ca="1" si="622"/>
        <v>54363</v>
      </c>
      <c r="G282" s="293">
        <f>VLOOKUP(E282+1,'Cashflow Details'!$1:$1005,123)/12</f>
        <v>-70.175379478466766</v>
      </c>
      <c r="H282" s="288"/>
      <c r="I282" s="292">
        <f t="shared" ref="I282:J282" ca="1" si="646">F282</f>
        <v>54363</v>
      </c>
      <c r="J282" s="293">
        <f t="shared" si="646"/>
        <v>-70.175379478466766</v>
      </c>
    </row>
    <row r="283" spans="2:10" ht="15.75" customHeight="1">
      <c r="B283" s="288"/>
      <c r="C283" s="288"/>
      <c r="D283" s="288"/>
      <c r="E283" s="289">
        <f t="shared" si="634"/>
        <v>23</v>
      </c>
      <c r="F283" s="292">
        <f t="shared" ca="1" si="622"/>
        <v>54393</v>
      </c>
      <c r="G283" s="293">
        <f>VLOOKUP(E283+1,'Cashflow Details'!$1:$1005,123)/12</f>
        <v>-70.175379478466766</v>
      </c>
      <c r="H283" s="288"/>
      <c r="I283" s="292">
        <f t="shared" ref="I283:J283" ca="1" si="647">F283</f>
        <v>54393</v>
      </c>
      <c r="J283" s="293">
        <f t="shared" si="647"/>
        <v>-70.175379478466766</v>
      </c>
    </row>
    <row r="284" spans="2:10" ht="15.75" customHeight="1">
      <c r="B284" s="288"/>
      <c r="C284" s="288"/>
      <c r="D284" s="288"/>
      <c r="E284" s="289">
        <f t="shared" si="634"/>
        <v>23</v>
      </c>
      <c r="F284" s="292">
        <f t="shared" ca="1" si="622"/>
        <v>54424</v>
      </c>
      <c r="G284" s="293">
        <f>VLOOKUP(E284+1,'Cashflow Details'!$1:$1005,123)/12</f>
        <v>-70.175379478466766</v>
      </c>
      <c r="H284" s="288"/>
      <c r="I284" s="292">
        <f t="shared" ref="I284:J284" ca="1" si="648">F284</f>
        <v>54424</v>
      </c>
      <c r="J284" s="293">
        <f t="shared" si="648"/>
        <v>-70.175379478466766</v>
      </c>
    </row>
    <row r="285" spans="2:10" ht="15.75" customHeight="1">
      <c r="B285" s="288"/>
      <c r="C285" s="288"/>
      <c r="D285" s="288"/>
      <c r="E285" s="289">
        <f t="shared" si="634"/>
        <v>23</v>
      </c>
      <c r="F285" s="292">
        <f t="shared" ca="1" si="622"/>
        <v>54455</v>
      </c>
      <c r="G285" s="293">
        <f>VLOOKUP(E285+1,'Cashflow Details'!$1:$1005,123)/12</f>
        <v>-70.175379478466766</v>
      </c>
      <c r="H285" s="288"/>
      <c r="I285" s="292">
        <f t="shared" ref="I285:J285" ca="1" si="649">F285</f>
        <v>54455</v>
      </c>
      <c r="J285" s="293">
        <f t="shared" si="649"/>
        <v>-70.175379478466766</v>
      </c>
    </row>
    <row r="286" spans="2:10" ht="15.75" customHeight="1">
      <c r="B286" s="288"/>
      <c r="C286" s="288"/>
      <c r="D286" s="288"/>
      <c r="E286" s="289">
        <f t="shared" si="634"/>
        <v>23</v>
      </c>
      <c r="F286" s="292">
        <f t="shared" ca="1" si="622"/>
        <v>54483</v>
      </c>
      <c r="G286" s="293">
        <f>VLOOKUP(E286+1,'Cashflow Details'!$1:$1005,123)/12</f>
        <v>-70.175379478466766</v>
      </c>
      <c r="H286" s="288"/>
      <c r="I286" s="292">
        <f t="shared" ref="I286:J286" ca="1" si="650">F286</f>
        <v>54483</v>
      </c>
      <c r="J286" s="293">
        <f t="shared" si="650"/>
        <v>-70.175379478466766</v>
      </c>
    </row>
    <row r="287" spans="2:10" ht="15.75" customHeight="1">
      <c r="B287" s="288"/>
      <c r="C287" s="288"/>
      <c r="D287" s="288"/>
      <c r="E287" s="289">
        <f t="shared" si="634"/>
        <v>23</v>
      </c>
      <c r="F287" s="292">
        <f t="shared" ca="1" si="622"/>
        <v>54514</v>
      </c>
      <c r="G287" s="293">
        <f>VLOOKUP(E287+1,'Cashflow Details'!$1:$1005,123)/12</f>
        <v>-70.175379478466766</v>
      </c>
      <c r="H287" s="288"/>
      <c r="I287" s="292">
        <f t="shared" ref="I287:J287" ca="1" si="651">F287</f>
        <v>54514</v>
      </c>
      <c r="J287" s="293">
        <f t="shared" si="651"/>
        <v>-70.175379478466766</v>
      </c>
    </row>
    <row r="288" spans="2:10" ht="15.75" customHeight="1">
      <c r="B288" s="288"/>
      <c r="C288" s="288"/>
      <c r="D288" s="288"/>
      <c r="E288" s="289">
        <f t="shared" si="634"/>
        <v>23</v>
      </c>
      <c r="F288" s="292">
        <f t="shared" ca="1" si="622"/>
        <v>54544</v>
      </c>
      <c r="G288" s="293">
        <f>VLOOKUP(E288+1,'Cashflow Details'!$1:$1005,123)/12</f>
        <v>-70.175379478466766</v>
      </c>
      <c r="H288" s="288"/>
      <c r="I288" s="292">
        <f t="shared" ref="I288:J288" ca="1" si="652">F288</f>
        <v>54544</v>
      </c>
      <c r="J288" s="293">
        <f t="shared" si="652"/>
        <v>-70.175379478466766</v>
      </c>
    </row>
    <row r="289" spans="2:10" ht="15.75" customHeight="1">
      <c r="B289" s="288"/>
      <c r="C289" s="288"/>
      <c r="D289" s="288"/>
      <c r="E289" s="289">
        <f t="shared" si="634"/>
        <v>23</v>
      </c>
      <c r="F289" s="292">
        <f t="shared" ca="1" si="622"/>
        <v>54575</v>
      </c>
      <c r="G289" s="293">
        <f>VLOOKUP(E289+1,'Cashflow Details'!$1:$1005,123)/12</f>
        <v>-70.175379478466766</v>
      </c>
      <c r="H289" s="288"/>
      <c r="I289" s="292">
        <f t="shared" ref="I289:J289" ca="1" si="653">F289</f>
        <v>54575</v>
      </c>
      <c r="J289" s="293">
        <f t="shared" si="653"/>
        <v>-70.175379478466766</v>
      </c>
    </row>
    <row r="290" spans="2:10" ht="15.75" customHeight="1">
      <c r="B290" s="288"/>
      <c r="C290" s="288"/>
      <c r="D290" s="288"/>
      <c r="E290" s="289">
        <f t="shared" si="634"/>
        <v>23</v>
      </c>
      <c r="F290" s="292">
        <f t="shared" ca="1" si="622"/>
        <v>54605</v>
      </c>
      <c r="G290" s="293">
        <f>VLOOKUP(E290+1,'Cashflow Details'!$1:$1005,123)/12</f>
        <v>-70.175379478466766</v>
      </c>
      <c r="H290" s="288"/>
      <c r="I290" s="292">
        <f t="shared" ref="I290:J290" ca="1" si="654">F290</f>
        <v>54605</v>
      </c>
      <c r="J290" s="293">
        <f t="shared" si="654"/>
        <v>-70.175379478466766</v>
      </c>
    </row>
    <row r="291" spans="2:10" ht="15.75" customHeight="1">
      <c r="B291" s="288"/>
      <c r="C291" s="288"/>
      <c r="D291" s="288"/>
      <c r="E291" s="289">
        <f t="shared" si="634"/>
        <v>23</v>
      </c>
      <c r="F291" s="292">
        <f t="shared" ca="1" si="622"/>
        <v>54636</v>
      </c>
      <c r="G291" s="293">
        <f>VLOOKUP(E291+1,'Cashflow Details'!$1:$1005,123)/12</f>
        <v>-70.175379478466766</v>
      </c>
      <c r="H291" s="288"/>
      <c r="I291" s="292">
        <f t="shared" ref="I291:J291" ca="1" si="655">F291</f>
        <v>54636</v>
      </c>
      <c r="J291" s="293">
        <f t="shared" si="655"/>
        <v>-70.175379478466766</v>
      </c>
    </row>
    <row r="292" spans="2:10" ht="15.75" customHeight="1">
      <c r="B292" s="288"/>
      <c r="C292" s="288"/>
      <c r="D292" s="288"/>
      <c r="E292" s="289">
        <f t="shared" si="634"/>
        <v>24</v>
      </c>
      <c r="F292" s="292">
        <f t="shared" ca="1" si="622"/>
        <v>54667</v>
      </c>
      <c r="G292" s="293">
        <f>VLOOKUP(E292+1,'Cashflow Details'!$1:$1005,123)/12</f>
        <v>-66.802220401369141</v>
      </c>
      <c r="H292" s="288"/>
      <c r="I292" s="292">
        <f t="shared" ref="I292:J292" ca="1" si="656">F292</f>
        <v>54667</v>
      </c>
      <c r="J292" s="293">
        <f t="shared" si="656"/>
        <v>-66.802220401369141</v>
      </c>
    </row>
    <row r="293" spans="2:10" ht="15.75" customHeight="1">
      <c r="B293" s="288"/>
      <c r="C293" s="288"/>
      <c r="D293" s="288"/>
      <c r="E293" s="289">
        <f t="shared" si="634"/>
        <v>24</v>
      </c>
      <c r="F293" s="292">
        <f t="shared" ca="1" si="622"/>
        <v>54697</v>
      </c>
      <c r="G293" s="293">
        <f>VLOOKUP(E293+1,'Cashflow Details'!$1:$1005,123)/12</f>
        <v>-66.802220401369141</v>
      </c>
      <c r="H293" s="288"/>
      <c r="I293" s="292">
        <f t="shared" ref="I293:J293" ca="1" si="657">F293</f>
        <v>54697</v>
      </c>
      <c r="J293" s="293">
        <f t="shared" si="657"/>
        <v>-66.802220401369141</v>
      </c>
    </row>
    <row r="294" spans="2:10" ht="15.75" customHeight="1">
      <c r="B294" s="288"/>
      <c r="C294" s="288"/>
      <c r="D294" s="288"/>
      <c r="E294" s="289">
        <f t="shared" si="634"/>
        <v>24</v>
      </c>
      <c r="F294" s="292">
        <f t="shared" ca="1" si="622"/>
        <v>54728</v>
      </c>
      <c r="G294" s="293">
        <f>VLOOKUP(E294+1,'Cashflow Details'!$1:$1005,123)/12</f>
        <v>-66.802220401369141</v>
      </c>
      <c r="H294" s="288"/>
      <c r="I294" s="292">
        <f t="shared" ref="I294:J294" ca="1" si="658">F294</f>
        <v>54728</v>
      </c>
      <c r="J294" s="293">
        <f t="shared" si="658"/>
        <v>-66.802220401369141</v>
      </c>
    </row>
    <row r="295" spans="2:10" ht="15.75" customHeight="1">
      <c r="B295" s="288"/>
      <c r="C295" s="288"/>
      <c r="D295" s="288"/>
      <c r="E295" s="289">
        <f t="shared" si="634"/>
        <v>24</v>
      </c>
      <c r="F295" s="292">
        <f t="shared" ca="1" si="622"/>
        <v>54758</v>
      </c>
      <c r="G295" s="293">
        <f>VLOOKUP(E295+1,'Cashflow Details'!$1:$1005,123)/12</f>
        <v>-66.802220401369141</v>
      </c>
      <c r="H295" s="288"/>
      <c r="I295" s="292">
        <f t="shared" ref="I295:J295" ca="1" si="659">F295</f>
        <v>54758</v>
      </c>
      <c r="J295" s="293">
        <f t="shared" si="659"/>
        <v>-66.802220401369141</v>
      </c>
    </row>
    <row r="296" spans="2:10" ht="15.75" customHeight="1">
      <c r="B296" s="288"/>
      <c r="C296" s="288"/>
      <c r="D296" s="288"/>
      <c r="E296" s="289">
        <f t="shared" si="634"/>
        <v>24</v>
      </c>
      <c r="F296" s="292">
        <f t="shared" ca="1" si="622"/>
        <v>54789</v>
      </c>
      <c r="G296" s="293">
        <f>VLOOKUP(E296+1,'Cashflow Details'!$1:$1005,123)/12</f>
        <v>-66.802220401369141</v>
      </c>
      <c r="H296" s="288"/>
      <c r="I296" s="292">
        <f t="shared" ref="I296:J296" ca="1" si="660">F296</f>
        <v>54789</v>
      </c>
      <c r="J296" s="293">
        <f t="shared" si="660"/>
        <v>-66.802220401369141</v>
      </c>
    </row>
    <row r="297" spans="2:10" ht="15.75" customHeight="1">
      <c r="B297" s="288"/>
      <c r="C297" s="288"/>
      <c r="D297" s="288"/>
      <c r="E297" s="289">
        <f t="shared" si="634"/>
        <v>24</v>
      </c>
      <c r="F297" s="292">
        <f t="shared" ca="1" si="622"/>
        <v>54820</v>
      </c>
      <c r="G297" s="293">
        <f>VLOOKUP(E297+1,'Cashflow Details'!$1:$1005,123)/12</f>
        <v>-66.802220401369141</v>
      </c>
      <c r="H297" s="288"/>
      <c r="I297" s="292">
        <f t="shared" ref="I297:J297" ca="1" si="661">F297</f>
        <v>54820</v>
      </c>
      <c r="J297" s="293">
        <f t="shared" si="661"/>
        <v>-66.802220401369141</v>
      </c>
    </row>
    <row r="298" spans="2:10" ht="15.75" customHeight="1">
      <c r="B298" s="288"/>
      <c r="C298" s="288"/>
      <c r="D298" s="288"/>
      <c r="E298" s="289">
        <f t="shared" si="634"/>
        <v>24</v>
      </c>
      <c r="F298" s="292">
        <f t="shared" ca="1" si="622"/>
        <v>54848</v>
      </c>
      <c r="G298" s="293">
        <f>VLOOKUP(E298+1,'Cashflow Details'!$1:$1005,123)/12</f>
        <v>-66.802220401369141</v>
      </c>
      <c r="H298" s="288"/>
      <c r="I298" s="292">
        <f t="shared" ref="I298:J298" ca="1" si="662">F298</f>
        <v>54848</v>
      </c>
      <c r="J298" s="293">
        <f t="shared" si="662"/>
        <v>-66.802220401369141</v>
      </c>
    </row>
    <row r="299" spans="2:10" ht="15.75" customHeight="1">
      <c r="B299" s="288"/>
      <c r="C299" s="288"/>
      <c r="D299" s="288"/>
      <c r="E299" s="289">
        <f t="shared" si="634"/>
        <v>24</v>
      </c>
      <c r="F299" s="292">
        <f t="shared" ca="1" si="622"/>
        <v>54879</v>
      </c>
      <c r="G299" s="293">
        <f>VLOOKUP(E299+1,'Cashflow Details'!$1:$1005,123)/12</f>
        <v>-66.802220401369141</v>
      </c>
      <c r="H299" s="288"/>
      <c r="I299" s="292">
        <f t="shared" ref="I299:J299" ca="1" si="663">F299</f>
        <v>54879</v>
      </c>
      <c r="J299" s="293">
        <f t="shared" si="663"/>
        <v>-66.802220401369141</v>
      </c>
    </row>
    <row r="300" spans="2:10" ht="15.75" customHeight="1">
      <c r="B300" s="288"/>
      <c r="C300" s="288"/>
      <c r="D300" s="288"/>
      <c r="E300" s="289">
        <f t="shared" si="634"/>
        <v>24</v>
      </c>
      <c r="F300" s="292">
        <f t="shared" ca="1" si="622"/>
        <v>54909</v>
      </c>
      <c r="G300" s="293">
        <f>VLOOKUP(E300+1,'Cashflow Details'!$1:$1005,123)/12</f>
        <v>-66.802220401369141</v>
      </c>
      <c r="H300" s="288"/>
      <c r="I300" s="292">
        <f t="shared" ref="I300:J300" ca="1" si="664">F300</f>
        <v>54909</v>
      </c>
      <c r="J300" s="293">
        <f t="shared" si="664"/>
        <v>-66.802220401369141</v>
      </c>
    </row>
    <row r="301" spans="2:10" ht="15.75" customHeight="1">
      <c r="B301" s="288"/>
      <c r="C301" s="288"/>
      <c r="D301" s="288"/>
      <c r="E301" s="289">
        <f t="shared" si="634"/>
        <v>24</v>
      </c>
      <c r="F301" s="292">
        <f t="shared" ca="1" si="622"/>
        <v>54940</v>
      </c>
      <c r="G301" s="293">
        <f>VLOOKUP(E301+1,'Cashflow Details'!$1:$1005,123)/12</f>
        <v>-66.802220401369141</v>
      </c>
      <c r="H301" s="288"/>
      <c r="I301" s="292">
        <f t="shared" ref="I301:J301" ca="1" si="665">F301</f>
        <v>54940</v>
      </c>
      <c r="J301" s="293">
        <f t="shared" si="665"/>
        <v>-66.802220401369141</v>
      </c>
    </row>
    <row r="302" spans="2:10" ht="15.75" customHeight="1">
      <c r="B302" s="288"/>
      <c r="C302" s="288"/>
      <c r="D302" s="288"/>
      <c r="E302" s="289">
        <f t="shared" si="634"/>
        <v>24</v>
      </c>
      <c r="F302" s="292">
        <f t="shared" ca="1" si="622"/>
        <v>54970</v>
      </c>
      <c r="G302" s="293">
        <f>VLOOKUP(E302+1,'Cashflow Details'!$1:$1005,123)/12</f>
        <v>-66.802220401369141</v>
      </c>
      <c r="H302" s="288"/>
      <c r="I302" s="292">
        <f t="shared" ref="I302:J302" ca="1" si="666">F302</f>
        <v>54970</v>
      </c>
      <c r="J302" s="293">
        <f t="shared" si="666"/>
        <v>-66.802220401369141</v>
      </c>
    </row>
    <row r="303" spans="2:10" ht="15.75" customHeight="1">
      <c r="B303" s="288"/>
      <c r="C303" s="288"/>
      <c r="D303" s="288"/>
      <c r="E303" s="289">
        <f t="shared" si="634"/>
        <v>24</v>
      </c>
      <c r="F303" s="292">
        <f t="shared" ca="1" si="622"/>
        <v>55001</v>
      </c>
      <c r="G303" s="293">
        <f>VLOOKUP(E303+1,'Cashflow Details'!$1:$1005,123)/12</f>
        <v>-66.802220401369141</v>
      </c>
      <c r="H303" s="288"/>
      <c r="I303" s="292">
        <f t="shared" ref="I303:J303" ca="1" si="667">F303</f>
        <v>55001</v>
      </c>
      <c r="J303" s="293">
        <f t="shared" si="667"/>
        <v>-66.802220401369141</v>
      </c>
    </row>
    <row r="304" spans="2:10" ht="15.75" customHeight="1">
      <c r="B304" s="288"/>
      <c r="C304" s="288"/>
      <c r="D304" s="288"/>
      <c r="E304" s="289">
        <f t="shared" si="634"/>
        <v>25</v>
      </c>
      <c r="F304" s="292">
        <f t="shared" ca="1" si="622"/>
        <v>55032</v>
      </c>
      <c r="G304" s="293">
        <f>VLOOKUP(E304+1,'Cashflow Details'!$1:$1005,123)/12</f>
        <v>-63.509931476063379</v>
      </c>
      <c r="H304" s="288"/>
      <c r="I304" s="292">
        <f t="shared" ref="I304:J304" ca="1" si="668">F304</f>
        <v>55032</v>
      </c>
      <c r="J304" s="293">
        <f t="shared" si="668"/>
        <v>-63.509931476063379</v>
      </c>
    </row>
    <row r="305" spans="2:10" ht="15.75" customHeight="1">
      <c r="B305" s="288"/>
      <c r="C305" s="288"/>
      <c r="D305" s="288"/>
      <c r="E305" s="289">
        <f t="shared" si="634"/>
        <v>25</v>
      </c>
      <c r="F305" s="292">
        <f t="shared" ca="1" si="622"/>
        <v>55062</v>
      </c>
      <c r="G305" s="293">
        <f>VLOOKUP(E305+1,'Cashflow Details'!$1:$1005,123)/12</f>
        <v>-63.509931476063379</v>
      </c>
      <c r="H305" s="288"/>
      <c r="I305" s="292">
        <f t="shared" ref="I305:J305" ca="1" si="669">F305</f>
        <v>55062</v>
      </c>
      <c r="J305" s="293">
        <f t="shared" si="669"/>
        <v>-63.509931476063379</v>
      </c>
    </row>
    <row r="306" spans="2:10" ht="15.75" customHeight="1">
      <c r="B306" s="288"/>
      <c r="C306" s="288"/>
      <c r="D306" s="288"/>
      <c r="E306" s="289">
        <f t="shared" si="634"/>
        <v>25</v>
      </c>
      <c r="F306" s="292">
        <f t="shared" ca="1" si="622"/>
        <v>55093</v>
      </c>
      <c r="G306" s="293">
        <f>VLOOKUP(E306+1,'Cashflow Details'!$1:$1005,123)/12</f>
        <v>-63.509931476063379</v>
      </c>
      <c r="H306" s="288"/>
      <c r="I306" s="292">
        <f t="shared" ref="I306:J306" ca="1" si="670">F306</f>
        <v>55093</v>
      </c>
      <c r="J306" s="293">
        <f t="shared" si="670"/>
        <v>-63.509931476063379</v>
      </c>
    </row>
    <row r="307" spans="2:10" ht="15.75" customHeight="1">
      <c r="B307" s="288"/>
      <c r="C307" s="288"/>
      <c r="D307" s="288"/>
      <c r="E307" s="289">
        <f t="shared" si="634"/>
        <v>25</v>
      </c>
      <c r="F307" s="292">
        <f t="shared" ca="1" si="622"/>
        <v>55123</v>
      </c>
      <c r="G307" s="293">
        <f>VLOOKUP(E307+1,'Cashflow Details'!$1:$1005,123)/12</f>
        <v>-63.509931476063379</v>
      </c>
      <c r="H307" s="288"/>
      <c r="I307" s="292">
        <f t="shared" ref="I307:J307" ca="1" si="671">F307</f>
        <v>55123</v>
      </c>
      <c r="J307" s="293">
        <f t="shared" si="671"/>
        <v>-63.509931476063379</v>
      </c>
    </row>
    <row r="308" spans="2:10" ht="15.75" customHeight="1">
      <c r="B308" s="288"/>
      <c r="C308" s="288"/>
      <c r="D308" s="288"/>
      <c r="E308" s="289">
        <f t="shared" si="634"/>
        <v>25</v>
      </c>
      <c r="F308" s="292">
        <f t="shared" ca="1" si="622"/>
        <v>55154</v>
      </c>
      <c r="G308" s="293">
        <f>VLOOKUP(E308+1,'Cashflow Details'!$1:$1005,123)/12</f>
        <v>-63.509931476063379</v>
      </c>
      <c r="H308" s="288"/>
      <c r="I308" s="292">
        <f t="shared" ref="I308:J308" ca="1" si="672">F308</f>
        <v>55154</v>
      </c>
      <c r="J308" s="293">
        <f t="shared" si="672"/>
        <v>-63.509931476063379</v>
      </c>
    </row>
    <row r="309" spans="2:10" ht="15.75" customHeight="1">
      <c r="B309" s="288"/>
      <c r="C309" s="288"/>
      <c r="D309" s="288"/>
      <c r="E309" s="289">
        <f t="shared" si="634"/>
        <v>25</v>
      </c>
      <c r="F309" s="292">
        <f t="shared" ca="1" si="622"/>
        <v>55185</v>
      </c>
      <c r="G309" s="293">
        <f>VLOOKUP(E309+1,'Cashflow Details'!$1:$1005,123)/12</f>
        <v>-63.509931476063379</v>
      </c>
      <c r="H309" s="288"/>
      <c r="I309" s="292">
        <f t="shared" ref="I309:J309" ca="1" si="673">F309</f>
        <v>55185</v>
      </c>
      <c r="J309" s="293">
        <f t="shared" si="673"/>
        <v>-63.509931476063379</v>
      </c>
    </row>
    <row r="310" spans="2:10" ht="15.75" customHeight="1">
      <c r="B310" s="288"/>
      <c r="C310" s="288"/>
      <c r="D310" s="288"/>
      <c r="E310" s="289">
        <f t="shared" si="634"/>
        <v>25</v>
      </c>
      <c r="F310" s="292">
        <f t="shared" ca="1" si="622"/>
        <v>55213</v>
      </c>
      <c r="G310" s="293">
        <f>VLOOKUP(E310+1,'Cashflow Details'!$1:$1005,123)/12</f>
        <v>-63.509931476063379</v>
      </c>
      <c r="H310" s="288"/>
      <c r="I310" s="292">
        <f t="shared" ref="I310:J310" ca="1" si="674">F310</f>
        <v>55213</v>
      </c>
      <c r="J310" s="293">
        <f t="shared" si="674"/>
        <v>-63.509931476063379</v>
      </c>
    </row>
    <row r="311" spans="2:10" ht="15.75" customHeight="1">
      <c r="B311" s="288"/>
      <c r="C311" s="288"/>
      <c r="D311" s="288"/>
      <c r="E311" s="289">
        <f t="shared" si="634"/>
        <v>25</v>
      </c>
      <c r="F311" s="292">
        <f t="shared" ca="1" si="622"/>
        <v>55244</v>
      </c>
      <c r="G311" s="293">
        <f>VLOOKUP(E311+1,'Cashflow Details'!$1:$1005,123)/12</f>
        <v>-63.509931476063379</v>
      </c>
      <c r="H311" s="288"/>
      <c r="I311" s="292">
        <f t="shared" ref="I311:J311" ca="1" si="675">F311</f>
        <v>55244</v>
      </c>
      <c r="J311" s="293">
        <f t="shared" si="675"/>
        <v>-63.509931476063379</v>
      </c>
    </row>
    <row r="312" spans="2:10" ht="15.75" customHeight="1">
      <c r="B312" s="288"/>
      <c r="C312" s="288"/>
      <c r="D312" s="288"/>
      <c r="E312" s="289">
        <f t="shared" si="634"/>
        <v>25</v>
      </c>
      <c r="F312" s="292">
        <f t="shared" ca="1" si="622"/>
        <v>55274</v>
      </c>
      <c r="G312" s="293">
        <f>VLOOKUP(E312+1,'Cashflow Details'!$1:$1005,123)/12</f>
        <v>-63.509931476063379</v>
      </c>
      <c r="H312" s="288"/>
      <c r="I312" s="292">
        <f t="shared" ref="I312:J312" ca="1" si="676">F312</f>
        <v>55274</v>
      </c>
      <c r="J312" s="293">
        <f t="shared" si="676"/>
        <v>-63.509931476063379</v>
      </c>
    </row>
    <row r="313" spans="2:10" ht="15.75" customHeight="1">
      <c r="B313" s="288"/>
      <c r="C313" s="288"/>
      <c r="D313" s="288"/>
      <c r="E313" s="289">
        <f t="shared" si="634"/>
        <v>25</v>
      </c>
      <c r="F313" s="292">
        <f t="shared" ca="1" si="622"/>
        <v>55305</v>
      </c>
      <c r="G313" s="293">
        <f>VLOOKUP(E313+1,'Cashflow Details'!$1:$1005,123)/12</f>
        <v>-63.509931476063379</v>
      </c>
      <c r="H313" s="288"/>
      <c r="I313" s="292">
        <f t="shared" ref="I313:J313" ca="1" si="677">F313</f>
        <v>55305</v>
      </c>
      <c r="J313" s="293">
        <f t="shared" si="677"/>
        <v>-63.509931476063379</v>
      </c>
    </row>
    <row r="314" spans="2:10" ht="15.75" customHeight="1">
      <c r="B314" s="288"/>
      <c r="C314" s="288"/>
      <c r="D314" s="288"/>
      <c r="E314" s="289">
        <f t="shared" si="634"/>
        <v>25</v>
      </c>
      <c r="F314" s="292">
        <f t="shared" ca="1" si="622"/>
        <v>55335</v>
      </c>
      <c r="G314" s="293">
        <f>VLOOKUP(E314+1,'Cashflow Details'!$1:$1005,123)/12</f>
        <v>-63.509931476063379</v>
      </c>
      <c r="H314" s="288"/>
      <c r="I314" s="292">
        <f t="shared" ref="I314:J314" ca="1" si="678">F314</f>
        <v>55335</v>
      </c>
      <c r="J314" s="293">
        <f t="shared" si="678"/>
        <v>-63.509931476063379</v>
      </c>
    </row>
    <row r="315" spans="2:10" ht="15.75" customHeight="1">
      <c r="B315" s="288"/>
      <c r="C315" s="288"/>
      <c r="D315" s="288"/>
      <c r="E315" s="289">
        <f t="shared" si="634"/>
        <v>25</v>
      </c>
      <c r="F315" s="292">
        <f t="shared" ca="1" si="622"/>
        <v>55366</v>
      </c>
      <c r="G315" s="293">
        <f>VLOOKUP(E315+1,'Cashflow Details'!$1:$1005,123)/12</f>
        <v>-63.509931476063379</v>
      </c>
      <c r="H315" s="288"/>
      <c r="I315" s="292">
        <f t="shared" ref="I315:J315" ca="1" si="679">F315</f>
        <v>55366</v>
      </c>
      <c r="J315" s="293">
        <f t="shared" si="679"/>
        <v>-63.509931476063379</v>
      </c>
    </row>
    <row r="316" spans="2:10" ht="15.75" customHeight="1">
      <c r="B316" s="288"/>
      <c r="C316" s="288"/>
      <c r="D316" s="288"/>
      <c r="E316" s="289">
        <f t="shared" si="634"/>
        <v>26</v>
      </c>
      <c r="F316" s="292">
        <f t="shared" ca="1" si="622"/>
        <v>55397</v>
      </c>
      <c r="G316" s="293">
        <f>VLOOKUP(E316+1,'Cashflow Details'!$1:$1005,123)/12</f>
        <v>-60.45513010558458</v>
      </c>
      <c r="H316" s="288"/>
      <c r="I316" s="292">
        <f t="shared" ref="I316:J316" ca="1" si="680">F316</f>
        <v>55397</v>
      </c>
      <c r="J316" s="293">
        <f t="shared" si="680"/>
        <v>-60.45513010558458</v>
      </c>
    </row>
    <row r="317" spans="2:10" ht="15.75" customHeight="1">
      <c r="B317" s="288"/>
      <c r="C317" s="288"/>
      <c r="D317" s="288"/>
      <c r="E317" s="289">
        <f t="shared" si="634"/>
        <v>26</v>
      </c>
      <c r="F317" s="292">
        <f t="shared" ca="1" si="622"/>
        <v>55427</v>
      </c>
      <c r="G317" s="293">
        <f>VLOOKUP(E317+1,'Cashflow Details'!$1:$1005,123)/12</f>
        <v>-60.45513010558458</v>
      </c>
      <c r="H317" s="288"/>
      <c r="I317" s="292">
        <f t="shared" ref="I317:J317" ca="1" si="681">F317</f>
        <v>55427</v>
      </c>
      <c r="J317" s="293">
        <f t="shared" si="681"/>
        <v>-60.45513010558458</v>
      </c>
    </row>
    <row r="318" spans="2:10" ht="15.75" customHeight="1">
      <c r="B318" s="288"/>
      <c r="C318" s="288"/>
      <c r="D318" s="288"/>
      <c r="E318" s="289">
        <f t="shared" si="634"/>
        <v>26</v>
      </c>
      <c r="F318" s="292">
        <f t="shared" ca="1" si="622"/>
        <v>55458</v>
      </c>
      <c r="G318" s="293">
        <f>VLOOKUP(E318+1,'Cashflow Details'!$1:$1005,123)/12</f>
        <v>-60.45513010558458</v>
      </c>
      <c r="H318" s="288"/>
      <c r="I318" s="292">
        <f t="shared" ref="I318:J318" ca="1" si="682">F318</f>
        <v>55458</v>
      </c>
      <c r="J318" s="293">
        <f t="shared" si="682"/>
        <v>-60.45513010558458</v>
      </c>
    </row>
    <row r="319" spans="2:10" ht="15.75" customHeight="1">
      <c r="B319" s="288"/>
      <c r="C319" s="288"/>
      <c r="D319" s="288"/>
      <c r="E319" s="289">
        <f t="shared" si="634"/>
        <v>26</v>
      </c>
      <c r="F319" s="292">
        <f t="shared" ca="1" si="622"/>
        <v>55488</v>
      </c>
      <c r="G319" s="293">
        <f>VLOOKUP(E319+1,'Cashflow Details'!$1:$1005,123)/12</f>
        <v>-60.45513010558458</v>
      </c>
      <c r="H319" s="288"/>
      <c r="I319" s="292">
        <f t="shared" ref="I319:J319" ca="1" si="683">F319</f>
        <v>55488</v>
      </c>
      <c r="J319" s="293">
        <f t="shared" si="683"/>
        <v>-60.45513010558458</v>
      </c>
    </row>
    <row r="320" spans="2:10" ht="15.75" customHeight="1">
      <c r="B320" s="288"/>
      <c r="C320" s="288"/>
      <c r="D320" s="288"/>
      <c r="E320" s="289">
        <f t="shared" si="634"/>
        <v>26</v>
      </c>
      <c r="F320" s="292">
        <f t="shared" ca="1" si="622"/>
        <v>55519</v>
      </c>
      <c r="G320" s="293">
        <f>VLOOKUP(E320+1,'Cashflow Details'!$1:$1005,123)/12</f>
        <v>-60.45513010558458</v>
      </c>
      <c r="H320" s="288"/>
      <c r="I320" s="292">
        <f t="shared" ref="I320:J320" ca="1" si="684">F320</f>
        <v>55519</v>
      </c>
      <c r="J320" s="293">
        <f t="shared" si="684"/>
        <v>-60.45513010558458</v>
      </c>
    </row>
    <row r="321" spans="2:10" ht="15.75" customHeight="1">
      <c r="B321" s="288"/>
      <c r="C321" s="288"/>
      <c r="D321" s="288"/>
      <c r="E321" s="289">
        <f t="shared" si="634"/>
        <v>26</v>
      </c>
      <c r="F321" s="292">
        <f t="shared" ca="1" si="622"/>
        <v>55550</v>
      </c>
      <c r="G321" s="293">
        <f>VLOOKUP(E321+1,'Cashflow Details'!$1:$1005,123)/12</f>
        <v>-60.45513010558458</v>
      </c>
      <c r="H321" s="288"/>
      <c r="I321" s="292">
        <f t="shared" ref="I321:J321" ca="1" si="685">F321</f>
        <v>55550</v>
      </c>
      <c r="J321" s="293">
        <f t="shared" si="685"/>
        <v>-60.45513010558458</v>
      </c>
    </row>
    <row r="322" spans="2:10" ht="15.75" customHeight="1">
      <c r="B322" s="288"/>
      <c r="C322" s="288"/>
      <c r="D322" s="288"/>
      <c r="E322" s="289">
        <f t="shared" si="634"/>
        <v>26</v>
      </c>
      <c r="F322" s="292">
        <f t="shared" ca="1" si="622"/>
        <v>55579</v>
      </c>
      <c r="G322" s="293">
        <f>VLOOKUP(E322+1,'Cashflow Details'!$1:$1005,123)/12</f>
        <v>-60.45513010558458</v>
      </c>
      <c r="H322" s="288"/>
      <c r="I322" s="292">
        <f t="shared" ref="I322:J322" ca="1" si="686">F322</f>
        <v>55579</v>
      </c>
      <c r="J322" s="293">
        <f t="shared" si="686"/>
        <v>-60.45513010558458</v>
      </c>
    </row>
    <row r="323" spans="2:10" ht="15.75" customHeight="1">
      <c r="B323" s="288"/>
      <c r="C323" s="288"/>
      <c r="D323" s="288"/>
      <c r="E323" s="289">
        <f t="shared" si="634"/>
        <v>26</v>
      </c>
      <c r="F323" s="292">
        <f t="shared" ca="1" si="622"/>
        <v>55610</v>
      </c>
      <c r="G323" s="293">
        <f>VLOOKUP(E323+1,'Cashflow Details'!$1:$1005,123)/12</f>
        <v>-60.45513010558458</v>
      </c>
      <c r="H323" s="288"/>
      <c r="I323" s="292">
        <f t="shared" ref="I323:J323" ca="1" si="687">F323</f>
        <v>55610</v>
      </c>
      <c r="J323" s="293">
        <f t="shared" si="687"/>
        <v>-60.45513010558458</v>
      </c>
    </row>
    <row r="324" spans="2:10" ht="15.75" customHeight="1">
      <c r="B324" s="288"/>
      <c r="C324" s="288"/>
      <c r="D324" s="288"/>
      <c r="E324" s="289">
        <f t="shared" si="634"/>
        <v>26</v>
      </c>
      <c r="F324" s="292">
        <f t="shared" ca="1" si="622"/>
        <v>55640</v>
      </c>
      <c r="G324" s="293">
        <f>VLOOKUP(E324+1,'Cashflow Details'!$1:$1005,123)/12</f>
        <v>-60.45513010558458</v>
      </c>
      <c r="H324" s="288"/>
      <c r="I324" s="292">
        <f t="shared" ref="I324:J324" ca="1" si="688">F324</f>
        <v>55640</v>
      </c>
      <c r="J324" s="293">
        <f t="shared" si="688"/>
        <v>-60.45513010558458</v>
      </c>
    </row>
    <row r="325" spans="2:10" ht="15.75" customHeight="1">
      <c r="B325" s="288"/>
      <c r="C325" s="288"/>
      <c r="D325" s="288"/>
      <c r="E325" s="289">
        <f t="shared" si="634"/>
        <v>26</v>
      </c>
      <c r="F325" s="292">
        <f t="shared" ca="1" si="622"/>
        <v>55671</v>
      </c>
      <c r="G325" s="293">
        <f>VLOOKUP(E325+1,'Cashflow Details'!$1:$1005,123)/12</f>
        <v>-60.45513010558458</v>
      </c>
      <c r="H325" s="288"/>
      <c r="I325" s="292">
        <f t="shared" ref="I325:J325" ca="1" si="689">F325</f>
        <v>55671</v>
      </c>
      <c r="J325" s="293">
        <f t="shared" si="689"/>
        <v>-60.45513010558458</v>
      </c>
    </row>
    <row r="326" spans="2:10" ht="15.75" customHeight="1">
      <c r="B326" s="288"/>
      <c r="C326" s="288"/>
      <c r="D326" s="288"/>
      <c r="E326" s="289">
        <f t="shared" si="634"/>
        <v>26</v>
      </c>
      <c r="F326" s="292">
        <f t="shared" ca="1" si="622"/>
        <v>55701</v>
      </c>
      <c r="G326" s="293">
        <f>VLOOKUP(E326+1,'Cashflow Details'!$1:$1005,123)/12</f>
        <v>-60.45513010558458</v>
      </c>
      <c r="H326" s="288"/>
      <c r="I326" s="292">
        <f t="shared" ref="I326:J326" ca="1" si="690">F326</f>
        <v>55701</v>
      </c>
      <c r="J326" s="293">
        <f t="shared" si="690"/>
        <v>-60.45513010558458</v>
      </c>
    </row>
    <row r="327" spans="2:10" ht="15.75" customHeight="1">
      <c r="B327" s="288"/>
      <c r="C327" s="288"/>
      <c r="D327" s="288"/>
      <c r="E327" s="289">
        <f t="shared" si="634"/>
        <v>26</v>
      </c>
      <c r="F327" s="292">
        <f t="shared" ca="1" si="622"/>
        <v>55732</v>
      </c>
      <c r="G327" s="293">
        <f>VLOOKUP(E327+1,'Cashflow Details'!$1:$1005,123)/12</f>
        <v>-60.45513010558458</v>
      </c>
      <c r="H327" s="288"/>
      <c r="I327" s="292">
        <f t="shared" ref="I327:J327" ca="1" si="691">F327</f>
        <v>55732</v>
      </c>
      <c r="J327" s="293">
        <f t="shared" si="691"/>
        <v>-60.45513010558458</v>
      </c>
    </row>
    <row r="328" spans="2:10" ht="15.75" customHeight="1">
      <c r="B328" s="288"/>
      <c r="C328" s="288"/>
      <c r="D328" s="288"/>
      <c r="E328" s="289">
        <f t="shared" si="634"/>
        <v>27</v>
      </c>
      <c r="F328" s="292">
        <f t="shared" ca="1" si="622"/>
        <v>55763</v>
      </c>
      <c r="G328" s="293">
        <f>VLOOKUP(E328+1,'Cashflow Details'!$1:$1005,123)/12</f>
        <v>-57.377566041029844</v>
      </c>
      <c r="H328" s="288"/>
      <c r="I328" s="292">
        <f t="shared" ref="I328:J328" ca="1" si="692">F328</f>
        <v>55763</v>
      </c>
      <c r="J328" s="293">
        <f t="shared" si="692"/>
        <v>-57.377566041029844</v>
      </c>
    </row>
    <row r="329" spans="2:10" ht="15.75" customHeight="1">
      <c r="B329" s="288"/>
      <c r="C329" s="288"/>
      <c r="D329" s="288"/>
      <c r="E329" s="289">
        <f t="shared" si="634"/>
        <v>27</v>
      </c>
      <c r="F329" s="292">
        <f t="shared" ca="1" si="622"/>
        <v>55793</v>
      </c>
      <c r="G329" s="293">
        <f>VLOOKUP(E329+1,'Cashflow Details'!$1:$1005,123)/12</f>
        <v>-57.377566041029844</v>
      </c>
      <c r="H329" s="288"/>
      <c r="I329" s="292">
        <f t="shared" ref="I329:J329" ca="1" si="693">F329</f>
        <v>55793</v>
      </c>
      <c r="J329" s="293">
        <f t="shared" si="693"/>
        <v>-57.377566041029844</v>
      </c>
    </row>
    <row r="330" spans="2:10" ht="15.75" customHeight="1">
      <c r="B330" s="288"/>
      <c r="C330" s="288"/>
      <c r="D330" s="288"/>
      <c r="E330" s="289">
        <f t="shared" si="634"/>
        <v>27</v>
      </c>
      <c r="F330" s="292">
        <f t="shared" ca="1" si="622"/>
        <v>55824</v>
      </c>
      <c r="G330" s="293">
        <f>VLOOKUP(E330+1,'Cashflow Details'!$1:$1005,123)/12</f>
        <v>-57.377566041029844</v>
      </c>
      <c r="H330" s="288"/>
      <c r="I330" s="292">
        <f t="shared" ref="I330:J330" ca="1" si="694">F330</f>
        <v>55824</v>
      </c>
      <c r="J330" s="293">
        <f t="shared" si="694"/>
        <v>-57.377566041029844</v>
      </c>
    </row>
    <row r="331" spans="2:10" ht="15.75" customHeight="1">
      <c r="B331" s="288"/>
      <c r="C331" s="288"/>
      <c r="D331" s="288"/>
      <c r="E331" s="289">
        <f t="shared" si="634"/>
        <v>27</v>
      </c>
      <c r="F331" s="292">
        <f t="shared" ca="1" si="622"/>
        <v>55854</v>
      </c>
      <c r="G331" s="293">
        <f>VLOOKUP(E331+1,'Cashflow Details'!$1:$1005,123)/12</f>
        <v>-57.377566041029844</v>
      </c>
      <c r="H331" s="288"/>
      <c r="I331" s="292">
        <f t="shared" ref="I331:J331" ca="1" si="695">F331</f>
        <v>55854</v>
      </c>
      <c r="J331" s="293">
        <f t="shared" si="695"/>
        <v>-57.377566041029844</v>
      </c>
    </row>
    <row r="332" spans="2:10" ht="15.75" customHeight="1">
      <c r="B332" s="288"/>
      <c r="C332" s="288"/>
      <c r="D332" s="288"/>
      <c r="E332" s="289">
        <f t="shared" si="634"/>
        <v>27</v>
      </c>
      <c r="F332" s="292">
        <f t="shared" ca="1" si="622"/>
        <v>55885</v>
      </c>
      <c r="G332" s="293">
        <f>VLOOKUP(E332+1,'Cashflow Details'!$1:$1005,123)/12</f>
        <v>-57.377566041029844</v>
      </c>
      <c r="H332" s="288"/>
      <c r="I332" s="292">
        <f t="shared" ref="I332:J332" ca="1" si="696">F332</f>
        <v>55885</v>
      </c>
      <c r="J332" s="293">
        <f t="shared" si="696"/>
        <v>-57.377566041029844</v>
      </c>
    </row>
    <row r="333" spans="2:10" ht="15.75" customHeight="1">
      <c r="B333" s="288"/>
      <c r="C333" s="288"/>
      <c r="D333" s="288"/>
      <c r="E333" s="289">
        <f t="shared" si="634"/>
        <v>27</v>
      </c>
      <c r="F333" s="292">
        <f t="shared" ca="1" si="622"/>
        <v>55916</v>
      </c>
      <c r="G333" s="293">
        <f>VLOOKUP(E333+1,'Cashflow Details'!$1:$1005,123)/12</f>
        <v>-57.377566041029844</v>
      </c>
      <c r="H333" s="288"/>
      <c r="I333" s="292">
        <f t="shared" ref="I333:J333" ca="1" si="697">F333</f>
        <v>55916</v>
      </c>
      <c r="J333" s="293">
        <f t="shared" si="697"/>
        <v>-57.377566041029844</v>
      </c>
    </row>
    <row r="334" spans="2:10" ht="15.75" customHeight="1">
      <c r="B334" s="288"/>
      <c r="C334" s="288"/>
      <c r="D334" s="288"/>
      <c r="E334" s="289">
        <f t="shared" si="634"/>
        <v>27</v>
      </c>
      <c r="F334" s="292">
        <f t="shared" ca="1" si="622"/>
        <v>55944</v>
      </c>
      <c r="G334" s="293">
        <f>VLOOKUP(E334+1,'Cashflow Details'!$1:$1005,123)/12</f>
        <v>-57.377566041029844</v>
      </c>
      <c r="H334" s="288"/>
      <c r="I334" s="292">
        <f t="shared" ref="I334:J334" ca="1" si="698">F334</f>
        <v>55944</v>
      </c>
      <c r="J334" s="293">
        <f t="shared" si="698"/>
        <v>-57.377566041029844</v>
      </c>
    </row>
    <row r="335" spans="2:10" ht="15.75" customHeight="1">
      <c r="B335" s="288"/>
      <c r="C335" s="288"/>
      <c r="D335" s="288"/>
      <c r="E335" s="289">
        <f t="shared" si="634"/>
        <v>27</v>
      </c>
      <c r="F335" s="292">
        <f t="shared" ca="1" si="622"/>
        <v>55975</v>
      </c>
      <c r="G335" s="293">
        <f>VLOOKUP(E335+1,'Cashflow Details'!$1:$1005,123)/12</f>
        <v>-57.377566041029844</v>
      </c>
      <c r="H335" s="288"/>
      <c r="I335" s="292">
        <f t="shared" ref="I335:J335" ca="1" si="699">F335</f>
        <v>55975</v>
      </c>
      <c r="J335" s="293">
        <f t="shared" si="699"/>
        <v>-57.377566041029844</v>
      </c>
    </row>
    <row r="336" spans="2:10" ht="15.75" customHeight="1">
      <c r="B336" s="288"/>
      <c r="C336" s="288"/>
      <c r="D336" s="288"/>
      <c r="E336" s="289">
        <f t="shared" si="634"/>
        <v>27</v>
      </c>
      <c r="F336" s="292">
        <f t="shared" ca="1" si="622"/>
        <v>56005</v>
      </c>
      <c r="G336" s="293">
        <f>VLOOKUP(E336+1,'Cashflow Details'!$1:$1005,123)/12</f>
        <v>-57.377566041029844</v>
      </c>
      <c r="H336" s="288"/>
      <c r="I336" s="292">
        <f t="shared" ref="I336:J336" ca="1" si="700">F336</f>
        <v>56005</v>
      </c>
      <c r="J336" s="293">
        <f t="shared" si="700"/>
        <v>-57.377566041029844</v>
      </c>
    </row>
    <row r="337" spans="2:10" ht="15.75" customHeight="1">
      <c r="B337" s="288"/>
      <c r="C337" s="288"/>
      <c r="D337" s="288"/>
      <c r="E337" s="289">
        <f t="shared" si="634"/>
        <v>27</v>
      </c>
      <c r="F337" s="292">
        <f t="shared" ca="1" si="622"/>
        <v>56036</v>
      </c>
      <c r="G337" s="293">
        <f>VLOOKUP(E337+1,'Cashflow Details'!$1:$1005,123)/12</f>
        <v>-57.377566041029844</v>
      </c>
      <c r="H337" s="288"/>
      <c r="I337" s="292">
        <f t="shared" ref="I337:J337" ca="1" si="701">F337</f>
        <v>56036</v>
      </c>
      <c r="J337" s="293">
        <f t="shared" si="701"/>
        <v>-57.377566041029844</v>
      </c>
    </row>
    <row r="338" spans="2:10" ht="15.75" customHeight="1">
      <c r="B338" s="288"/>
      <c r="C338" s="288"/>
      <c r="D338" s="288"/>
      <c r="E338" s="289">
        <f t="shared" si="634"/>
        <v>27</v>
      </c>
      <c r="F338" s="292">
        <f t="shared" ca="1" si="622"/>
        <v>56066</v>
      </c>
      <c r="G338" s="293">
        <f>VLOOKUP(E338+1,'Cashflow Details'!$1:$1005,123)/12</f>
        <v>-57.377566041029844</v>
      </c>
      <c r="H338" s="288"/>
      <c r="I338" s="292">
        <f t="shared" ref="I338:J338" ca="1" si="702">F338</f>
        <v>56066</v>
      </c>
      <c r="J338" s="293">
        <f t="shared" si="702"/>
        <v>-57.377566041029844</v>
      </c>
    </row>
    <row r="339" spans="2:10" ht="15.75" customHeight="1">
      <c r="B339" s="288"/>
      <c r="C339" s="288"/>
      <c r="D339" s="288"/>
      <c r="E339" s="289">
        <f t="shared" si="634"/>
        <v>27</v>
      </c>
      <c r="F339" s="292">
        <f t="shared" ca="1" si="622"/>
        <v>56097</v>
      </c>
      <c r="G339" s="293">
        <f>VLOOKUP(E339+1,'Cashflow Details'!$1:$1005,123)/12</f>
        <v>-57.377566041029844</v>
      </c>
      <c r="H339" s="288"/>
      <c r="I339" s="292">
        <f t="shared" ref="I339:J339" ca="1" si="703">F339</f>
        <v>56097</v>
      </c>
      <c r="J339" s="293">
        <f t="shared" si="703"/>
        <v>-57.377566041029844</v>
      </c>
    </row>
    <row r="340" spans="2:10" ht="15.75" customHeight="1">
      <c r="B340" s="288"/>
      <c r="C340" s="288"/>
      <c r="D340" s="288"/>
      <c r="E340" s="289">
        <f t="shared" si="634"/>
        <v>28</v>
      </c>
      <c r="F340" s="292">
        <f t="shared" ca="1" si="622"/>
        <v>56128</v>
      </c>
      <c r="G340" s="293">
        <f>VLOOKUP(E340+1,'Cashflow Details'!$1:$1005,123)/12</f>
        <v>-54.516784028516668</v>
      </c>
      <c r="H340" s="288"/>
      <c r="I340" s="292">
        <f t="shared" ref="I340:J340" ca="1" si="704">F340</f>
        <v>56128</v>
      </c>
      <c r="J340" s="293">
        <f t="shared" si="704"/>
        <v>-54.516784028516668</v>
      </c>
    </row>
    <row r="341" spans="2:10" ht="15.75" customHeight="1">
      <c r="B341" s="288"/>
      <c r="C341" s="288"/>
      <c r="D341" s="288"/>
      <c r="E341" s="289">
        <f t="shared" si="634"/>
        <v>28</v>
      </c>
      <c r="F341" s="292">
        <f t="shared" ca="1" si="622"/>
        <v>56158</v>
      </c>
      <c r="G341" s="293">
        <f>VLOOKUP(E341+1,'Cashflow Details'!$1:$1005,123)/12</f>
        <v>-54.516784028516668</v>
      </c>
      <c r="H341" s="288"/>
      <c r="I341" s="292">
        <f t="shared" ref="I341:J341" ca="1" si="705">F341</f>
        <v>56158</v>
      </c>
      <c r="J341" s="293">
        <f t="shared" si="705"/>
        <v>-54.516784028516668</v>
      </c>
    </row>
    <row r="342" spans="2:10" ht="15.75" customHeight="1">
      <c r="B342" s="288"/>
      <c r="C342" s="288"/>
      <c r="D342" s="288"/>
      <c r="E342" s="289">
        <f t="shared" si="634"/>
        <v>28</v>
      </c>
      <c r="F342" s="292">
        <f t="shared" ca="1" si="622"/>
        <v>56189</v>
      </c>
      <c r="G342" s="293">
        <f>VLOOKUP(E342+1,'Cashflow Details'!$1:$1005,123)/12</f>
        <v>-54.516784028516668</v>
      </c>
      <c r="H342" s="288"/>
      <c r="I342" s="292">
        <f t="shared" ref="I342:J342" ca="1" si="706">F342</f>
        <v>56189</v>
      </c>
      <c r="J342" s="293">
        <f t="shared" si="706"/>
        <v>-54.516784028516668</v>
      </c>
    </row>
    <row r="343" spans="2:10" ht="15.75" customHeight="1">
      <c r="B343" s="288"/>
      <c r="C343" s="288"/>
      <c r="D343" s="288"/>
      <c r="E343" s="289">
        <f t="shared" si="634"/>
        <v>28</v>
      </c>
      <c r="F343" s="292">
        <f t="shared" ca="1" si="622"/>
        <v>56219</v>
      </c>
      <c r="G343" s="293">
        <f>VLOOKUP(E343+1,'Cashflow Details'!$1:$1005,123)/12</f>
        <v>-54.516784028516668</v>
      </c>
      <c r="H343" s="288"/>
      <c r="I343" s="292">
        <f t="shared" ref="I343:J343" ca="1" si="707">F343</f>
        <v>56219</v>
      </c>
      <c r="J343" s="293">
        <f t="shared" si="707"/>
        <v>-54.516784028516668</v>
      </c>
    </row>
    <row r="344" spans="2:10" ht="15.75" customHeight="1">
      <c r="B344" s="288"/>
      <c r="C344" s="288"/>
      <c r="D344" s="288"/>
      <c r="E344" s="289">
        <f t="shared" si="634"/>
        <v>28</v>
      </c>
      <c r="F344" s="292">
        <f t="shared" ca="1" si="622"/>
        <v>56250</v>
      </c>
      <c r="G344" s="293">
        <f>VLOOKUP(E344+1,'Cashflow Details'!$1:$1005,123)/12</f>
        <v>-54.516784028516668</v>
      </c>
      <c r="H344" s="288"/>
      <c r="I344" s="292">
        <f t="shared" ref="I344:J344" ca="1" si="708">F344</f>
        <v>56250</v>
      </c>
      <c r="J344" s="293">
        <f t="shared" si="708"/>
        <v>-54.516784028516668</v>
      </c>
    </row>
    <row r="345" spans="2:10" ht="15.75" customHeight="1">
      <c r="B345" s="288"/>
      <c r="C345" s="288"/>
      <c r="D345" s="288"/>
      <c r="E345" s="289">
        <f t="shared" si="634"/>
        <v>28</v>
      </c>
      <c r="F345" s="292">
        <f t="shared" ca="1" si="622"/>
        <v>56281</v>
      </c>
      <c r="G345" s="293">
        <f>VLOOKUP(E345+1,'Cashflow Details'!$1:$1005,123)/12</f>
        <v>-54.516784028516668</v>
      </c>
      <c r="H345" s="288"/>
      <c r="I345" s="292">
        <f t="shared" ref="I345:J345" ca="1" si="709">F345</f>
        <v>56281</v>
      </c>
      <c r="J345" s="293">
        <f t="shared" si="709"/>
        <v>-54.516784028516668</v>
      </c>
    </row>
    <row r="346" spans="2:10" ht="15.75" customHeight="1">
      <c r="B346" s="288"/>
      <c r="C346" s="288"/>
      <c r="D346" s="288"/>
      <c r="E346" s="289">
        <f t="shared" si="634"/>
        <v>28</v>
      </c>
      <c r="F346" s="292">
        <f t="shared" ca="1" si="622"/>
        <v>56309</v>
      </c>
      <c r="G346" s="293">
        <f>VLOOKUP(E346+1,'Cashflow Details'!$1:$1005,123)/12</f>
        <v>-54.516784028516668</v>
      </c>
      <c r="H346" s="288"/>
      <c r="I346" s="292">
        <f t="shared" ref="I346:J346" ca="1" si="710">F346</f>
        <v>56309</v>
      </c>
      <c r="J346" s="293">
        <f t="shared" si="710"/>
        <v>-54.516784028516668</v>
      </c>
    </row>
    <row r="347" spans="2:10" ht="15.75" customHeight="1">
      <c r="B347" s="288"/>
      <c r="C347" s="288"/>
      <c r="D347" s="288"/>
      <c r="E347" s="289">
        <f t="shared" si="634"/>
        <v>28</v>
      </c>
      <c r="F347" s="292">
        <f t="shared" ca="1" si="622"/>
        <v>56340</v>
      </c>
      <c r="G347" s="293">
        <f>VLOOKUP(E347+1,'Cashflow Details'!$1:$1005,123)/12</f>
        <v>-54.516784028516668</v>
      </c>
      <c r="H347" s="288"/>
      <c r="I347" s="292">
        <f t="shared" ref="I347:J347" ca="1" si="711">F347</f>
        <v>56340</v>
      </c>
      <c r="J347" s="293">
        <f t="shared" si="711"/>
        <v>-54.516784028516668</v>
      </c>
    </row>
    <row r="348" spans="2:10" ht="15.75" customHeight="1">
      <c r="B348" s="288"/>
      <c r="C348" s="288"/>
      <c r="D348" s="288"/>
      <c r="E348" s="289">
        <f t="shared" si="634"/>
        <v>28</v>
      </c>
      <c r="F348" s="292">
        <f t="shared" ca="1" si="622"/>
        <v>56370</v>
      </c>
      <c r="G348" s="293">
        <f>VLOOKUP(E348+1,'Cashflow Details'!$1:$1005,123)/12</f>
        <v>-54.516784028516668</v>
      </c>
      <c r="H348" s="288"/>
      <c r="I348" s="292">
        <f t="shared" ref="I348:J348" ca="1" si="712">F348</f>
        <v>56370</v>
      </c>
      <c r="J348" s="293">
        <f t="shared" si="712"/>
        <v>-54.516784028516668</v>
      </c>
    </row>
    <row r="349" spans="2:10" ht="15.75" customHeight="1">
      <c r="B349" s="288"/>
      <c r="C349" s="288"/>
      <c r="D349" s="288"/>
      <c r="E349" s="289">
        <f t="shared" si="634"/>
        <v>28</v>
      </c>
      <c r="F349" s="292">
        <f t="shared" ca="1" si="622"/>
        <v>56401</v>
      </c>
      <c r="G349" s="293">
        <f>VLOOKUP(E349+1,'Cashflow Details'!$1:$1005,123)/12</f>
        <v>-54.516784028516668</v>
      </c>
      <c r="H349" s="288"/>
      <c r="I349" s="292">
        <f t="shared" ref="I349:J349" ca="1" si="713">F349</f>
        <v>56401</v>
      </c>
      <c r="J349" s="293">
        <f t="shared" si="713"/>
        <v>-54.516784028516668</v>
      </c>
    </row>
    <row r="350" spans="2:10" ht="15.75" customHeight="1">
      <c r="B350" s="288"/>
      <c r="C350" s="288"/>
      <c r="D350" s="288"/>
      <c r="E350" s="289">
        <f t="shared" si="634"/>
        <v>28</v>
      </c>
      <c r="F350" s="292">
        <f t="shared" ca="1" si="622"/>
        <v>56431</v>
      </c>
      <c r="G350" s="293">
        <f>VLOOKUP(E350+1,'Cashflow Details'!$1:$1005,123)/12</f>
        <v>-54.516784028516668</v>
      </c>
      <c r="H350" s="288"/>
      <c r="I350" s="292">
        <f t="shared" ref="I350:J350" ca="1" si="714">F350</f>
        <v>56431</v>
      </c>
      <c r="J350" s="293">
        <f t="shared" si="714"/>
        <v>-54.516784028516668</v>
      </c>
    </row>
    <row r="351" spans="2:10" ht="15.75" customHeight="1">
      <c r="B351" s="288"/>
      <c r="C351" s="288"/>
      <c r="D351" s="288"/>
      <c r="E351" s="289">
        <f t="shared" si="634"/>
        <v>28</v>
      </c>
      <c r="F351" s="292">
        <f t="shared" ca="1" si="622"/>
        <v>56462</v>
      </c>
      <c r="G351" s="293">
        <f>VLOOKUP(E351+1,'Cashflow Details'!$1:$1005,123)/12</f>
        <v>-54.516784028516668</v>
      </c>
      <c r="H351" s="288"/>
      <c r="I351" s="292">
        <f t="shared" ref="I351:J351" ca="1" si="715">F351</f>
        <v>56462</v>
      </c>
      <c r="J351" s="293">
        <f t="shared" si="715"/>
        <v>-54.516784028516668</v>
      </c>
    </row>
    <row r="352" spans="2:10" ht="15.75" customHeight="1">
      <c r="B352" s="288"/>
      <c r="C352" s="288"/>
      <c r="D352" s="288"/>
      <c r="E352" s="289">
        <f t="shared" si="634"/>
        <v>29</v>
      </c>
      <c r="F352" s="292">
        <f t="shared" ca="1" si="622"/>
        <v>56493</v>
      </c>
      <c r="G352" s="293">
        <f>VLOOKUP(E352+1,'Cashflow Details'!$1:$1005,123)/12</f>
        <v>-51.695453042420617</v>
      </c>
      <c r="H352" s="288"/>
      <c r="I352" s="292">
        <f t="shared" ref="I352:J352" ca="1" si="716">F352</f>
        <v>56493</v>
      </c>
      <c r="J352" s="293">
        <f t="shared" si="716"/>
        <v>-51.695453042420617</v>
      </c>
    </row>
    <row r="353" spans="2:10" ht="15.75" customHeight="1">
      <c r="B353" s="288"/>
      <c r="C353" s="288"/>
      <c r="D353" s="288"/>
      <c r="E353" s="289">
        <f t="shared" si="634"/>
        <v>29</v>
      </c>
      <c r="F353" s="292">
        <f t="shared" ca="1" si="622"/>
        <v>56523</v>
      </c>
      <c r="G353" s="293">
        <f>VLOOKUP(E353+1,'Cashflow Details'!$1:$1005,123)/12</f>
        <v>-51.695453042420617</v>
      </c>
      <c r="H353" s="288"/>
      <c r="I353" s="292">
        <f t="shared" ref="I353:J353" ca="1" si="717">F353</f>
        <v>56523</v>
      </c>
      <c r="J353" s="293">
        <f t="shared" si="717"/>
        <v>-51.695453042420617</v>
      </c>
    </row>
    <row r="354" spans="2:10" ht="15.75" customHeight="1">
      <c r="B354" s="288"/>
      <c r="C354" s="288"/>
      <c r="D354" s="288"/>
      <c r="E354" s="289">
        <f t="shared" si="634"/>
        <v>29</v>
      </c>
      <c r="F354" s="292">
        <f t="shared" ca="1" si="622"/>
        <v>56554</v>
      </c>
      <c r="G354" s="293">
        <f>VLOOKUP(E354+1,'Cashflow Details'!$1:$1005,123)/12</f>
        <v>-51.695453042420617</v>
      </c>
      <c r="H354" s="288"/>
      <c r="I354" s="292">
        <f t="shared" ref="I354:J354" ca="1" si="718">F354</f>
        <v>56554</v>
      </c>
      <c r="J354" s="293">
        <f t="shared" si="718"/>
        <v>-51.695453042420617</v>
      </c>
    </row>
    <row r="355" spans="2:10" ht="15.75" customHeight="1">
      <c r="B355" s="288"/>
      <c r="C355" s="288"/>
      <c r="D355" s="288"/>
      <c r="E355" s="289">
        <f t="shared" si="634"/>
        <v>29</v>
      </c>
      <c r="F355" s="292">
        <f t="shared" ca="1" si="622"/>
        <v>56584</v>
      </c>
      <c r="G355" s="293">
        <f>VLOOKUP(E355+1,'Cashflow Details'!$1:$1005,123)/12</f>
        <v>-51.695453042420617</v>
      </c>
      <c r="H355" s="288"/>
      <c r="I355" s="292">
        <f t="shared" ref="I355:J355" ca="1" si="719">F355</f>
        <v>56584</v>
      </c>
      <c r="J355" s="293">
        <f t="shared" si="719"/>
        <v>-51.695453042420617</v>
      </c>
    </row>
    <row r="356" spans="2:10" ht="15.75" customHeight="1">
      <c r="B356" s="288"/>
      <c r="C356" s="288"/>
      <c r="D356" s="288"/>
      <c r="E356" s="289">
        <f t="shared" si="634"/>
        <v>29</v>
      </c>
      <c r="F356" s="292">
        <f t="shared" ca="1" si="622"/>
        <v>56615</v>
      </c>
      <c r="G356" s="293">
        <f>VLOOKUP(E356+1,'Cashflow Details'!$1:$1005,123)/12</f>
        <v>-51.695453042420617</v>
      </c>
      <c r="H356" s="288"/>
      <c r="I356" s="292">
        <f t="shared" ref="I356:J356" ca="1" si="720">F356</f>
        <v>56615</v>
      </c>
      <c r="J356" s="293">
        <f t="shared" si="720"/>
        <v>-51.695453042420617</v>
      </c>
    </row>
    <row r="357" spans="2:10" ht="15.75" customHeight="1">
      <c r="B357" s="288"/>
      <c r="C357" s="288"/>
      <c r="D357" s="288"/>
      <c r="E357" s="289">
        <f t="shared" si="634"/>
        <v>29</v>
      </c>
      <c r="F357" s="292">
        <f t="shared" ca="1" si="622"/>
        <v>56646</v>
      </c>
      <c r="G357" s="293">
        <f>VLOOKUP(E357+1,'Cashflow Details'!$1:$1005,123)/12</f>
        <v>-51.695453042420617</v>
      </c>
      <c r="H357" s="288"/>
      <c r="I357" s="292">
        <f t="shared" ref="I357:J357" ca="1" si="721">F357</f>
        <v>56646</v>
      </c>
      <c r="J357" s="293">
        <f t="shared" si="721"/>
        <v>-51.695453042420617</v>
      </c>
    </row>
    <row r="358" spans="2:10" ht="15.75" customHeight="1">
      <c r="B358" s="288"/>
      <c r="C358" s="288"/>
      <c r="D358" s="288"/>
      <c r="E358" s="289">
        <f t="shared" si="634"/>
        <v>29</v>
      </c>
      <c r="F358" s="292">
        <f t="shared" ca="1" si="622"/>
        <v>56674</v>
      </c>
      <c r="G358" s="293">
        <f>VLOOKUP(E358+1,'Cashflow Details'!$1:$1005,123)/12</f>
        <v>-51.695453042420617</v>
      </c>
      <c r="H358" s="288"/>
      <c r="I358" s="292">
        <f t="shared" ref="I358:J358" ca="1" si="722">F358</f>
        <v>56674</v>
      </c>
      <c r="J358" s="293">
        <f t="shared" si="722"/>
        <v>-51.695453042420617</v>
      </c>
    </row>
    <row r="359" spans="2:10" ht="15.75" customHeight="1">
      <c r="B359" s="288"/>
      <c r="C359" s="288"/>
      <c r="D359" s="288"/>
      <c r="E359" s="289">
        <f t="shared" si="634"/>
        <v>29</v>
      </c>
      <c r="F359" s="292">
        <f t="shared" ca="1" si="622"/>
        <v>56705</v>
      </c>
      <c r="G359" s="293">
        <f>VLOOKUP(E359+1,'Cashflow Details'!$1:$1005,123)/12</f>
        <v>-51.695453042420617</v>
      </c>
      <c r="H359" s="288"/>
      <c r="I359" s="292">
        <f t="shared" ref="I359:J359" ca="1" si="723">F359</f>
        <v>56705</v>
      </c>
      <c r="J359" s="293">
        <f t="shared" si="723"/>
        <v>-51.695453042420617</v>
      </c>
    </row>
    <row r="360" spans="2:10" ht="15.75" customHeight="1">
      <c r="B360" s="288"/>
      <c r="C360" s="288"/>
      <c r="D360" s="288"/>
      <c r="E360" s="289">
        <f t="shared" si="634"/>
        <v>29</v>
      </c>
      <c r="F360" s="292">
        <f t="shared" ca="1" si="622"/>
        <v>56735</v>
      </c>
      <c r="G360" s="293">
        <f>VLOOKUP(E360+1,'Cashflow Details'!$1:$1005,123)/12</f>
        <v>-51.695453042420617</v>
      </c>
      <c r="H360" s="288"/>
      <c r="I360" s="292">
        <f t="shared" ref="I360:J360" ca="1" si="724">F360</f>
        <v>56735</v>
      </c>
      <c r="J360" s="293">
        <f t="shared" si="724"/>
        <v>-51.695453042420617</v>
      </c>
    </row>
    <row r="361" spans="2:10" ht="15.75" customHeight="1">
      <c r="B361" s="288"/>
      <c r="C361" s="288"/>
      <c r="D361" s="288"/>
      <c r="E361" s="289">
        <f t="shared" si="634"/>
        <v>29</v>
      </c>
      <c r="F361" s="292">
        <f t="shared" ca="1" si="622"/>
        <v>56766</v>
      </c>
      <c r="G361" s="293">
        <f>VLOOKUP(E361+1,'Cashflow Details'!$1:$1005,123)/12</f>
        <v>-51.695453042420617</v>
      </c>
      <c r="H361" s="288"/>
      <c r="I361" s="292">
        <f t="shared" ref="I361:J361" ca="1" si="725">F361</f>
        <v>56766</v>
      </c>
      <c r="J361" s="293">
        <f t="shared" si="725"/>
        <v>-51.695453042420617</v>
      </c>
    </row>
    <row r="362" spans="2:10" ht="15.75" customHeight="1">
      <c r="B362" s="288"/>
      <c r="C362" s="288"/>
      <c r="D362" s="288"/>
      <c r="E362" s="289">
        <f t="shared" si="634"/>
        <v>29</v>
      </c>
      <c r="F362" s="292">
        <f t="shared" ca="1" si="622"/>
        <v>56796</v>
      </c>
      <c r="G362" s="293">
        <f>VLOOKUP(E362+1,'Cashflow Details'!$1:$1005,123)/12</f>
        <v>-51.695453042420617</v>
      </c>
      <c r="H362" s="288"/>
      <c r="I362" s="292">
        <f t="shared" ref="I362:J362" ca="1" si="726">F362</f>
        <v>56796</v>
      </c>
      <c r="J362" s="293">
        <f t="shared" si="726"/>
        <v>-51.695453042420617</v>
      </c>
    </row>
    <row r="363" spans="2:10" ht="15.75" customHeight="1">
      <c r="B363" s="288"/>
      <c r="C363" s="288"/>
      <c r="D363" s="288"/>
      <c r="E363" s="289">
        <f t="shared" si="634"/>
        <v>29</v>
      </c>
      <c r="F363" s="292">
        <f t="shared" ca="1" si="622"/>
        <v>56827</v>
      </c>
      <c r="G363" s="293">
        <f>VLOOKUP(E363+1,'Cashflow Details'!$1:$1005,123)/12</f>
        <v>-51.695453042420617</v>
      </c>
      <c r="H363" s="288"/>
      <c r="I363" s="292">
        <f t="shared" ref="I363:J363" ca="1" si="727">F363</f>
        <v>56827</v>
      </c>
      <c r="J363" s="293">
        <f t="shared" si="727"/>
        <v>-51.695453042420617</v>
      </c>
    </row>
    <row r="364" spans="2:10" ht="15.75" customHeight="1">
      <c r="B364" s="288"/>
      <c r="C364" s="288"/>
      <c r="D364" s="288"/>
      <c r="E364" s="289">
        <f t="shared" si="634"/>
        <v>30</v>
      </c>
      <c r="F364" s="292">
        <f t="shared" ca="1" si="622"/>
        <v>56858</v>
      </c>
      <c r="G364" s="293">
        <f>VLOOKUP(E364+1,'Cashflow Details'!$1:$1005,123)/12</f>
        <v>-49.069362103268908</v>
      </c>
      <c r="H364" s="288"/>
      <c r="I364" s="292">
        <f ca="1">F364</f>
        <v>56858</v>
      </c>
      <c r="J364" s="293">
        <f>'Immobilie als Kapitalanlage'!J52*1000</f>
        <v>191000000</v>
      </c>
    </row>
    <row r="365" spans="2:10" ht="15.75" customHeight="1">
      <c r="B365" s="288"/>
      <c r="C365" s="288"/>
      <c r="D365" s="288"/>
      <c r="E365" s="289">
        <f t="shared" si="634"/>
        <v>30</v>
      </c>
      <c r="F365" s="292">
        <f t="shared" ca="1" si="622"/>
        <v>56888</v>
      </c>
      <c r="G365" s="293">
        <f>VLOOKUP(E365+1,'Cashflow Details'!$1:$1005,123)/12</f>
        <v>-49.069362103268908</v>
      </c>
      <c r="H365" s="288"/>
      <c r="I365" s="288"/>
      <c r="J365" s="288"/>
    </row>
    <row r="366" spans="2:10" ht="15.75" customHeight="1">
      <c r="B366" s="288"/>
      <c r="C366" s="288"/>
      <c r="D366" s="288"/>
      <c r="E366" s="289">
        <f t="shared" si="634"/>
        <v>30</v>
      </c>
      <c r="F366" s="292">
        <f t="shared" ca="1" si="622"/>
        <v>56919</v>
      </c>
      <c r="G366" s="293">
        <f>VLOOKUP(E366+1,'Cashflow Details'!$1:$1005,123)/12</f>
        <v>-49.069362103268908</v>
      </c>
      <c r="H366" s="288"/>
      <c r="I366" s="288"/>
      <c r="J366" s="288"/>
    </row>
    <row r="367" spans="2:10" ht="15.75" customHeight="1">
      <c r="B367" s="288"/>
      <c r="C367" s="288"/>
      <c r="D367" s="288"/>
      <c r="E367" s="289">
        <f t="shared" si="634"/>
        <v>30</v>
      </c>
      <c r="F367" s="292">
        <f t="shared" ca="1" si="622"/>
        <v>56949</v>
      </c>
      <c r="G367" s="293">
        <f>VLOOKUP(E367+1,'Cashflow Details'!$1:$1005,123)/12</f>
        <v>-49.069362103268908</v>
      </c>
      <c r="H367" s="288"/>
      <c r="I367" s="288"/>
      <c r="J367" s="288"/>
    </row>
    <row r="368" spans="2:10" ht="15.75" customHeight="1">
      <c r="B368" s="288"/>
      <c r="C368" s="288"/>
      <c r="D368" s="288"/>
      <c r="E368" s="289">
        <f t="shared" si="634"/>
        <v>30</v>
      </c>
      <c r="F368" s="292">
        <f t="shared" ca="1" si="622"/>
        <v>56980</v>
      </c>
      <c r="G368" s="293">
        <f>VLOOKUP(E368+1,'Cashflow Details'!$1:$1005,123)/12</f>
        <v>-49.069362103268908</v>
      </c>
      <c r="H368" s="288"/>
      <c r="I368" s="288"/>
      <c r="J368" s="288"/>
    </row>
    <row r="369" spans="2:7" ht="15.75" customHeight="1">
      <c r="B369" s="288"/>
      <c r="C369" s="288"/>
      <c r="D369" s="288"/>
      <c r="E369" s="289">
        <f t="shared" si="634"/>
        <v>30</v>
      </c>
      <c r="F369" s="292">
        <f t="shared" ca="1" si="622"/>
        <v>57011</v>
      </c>
      <c r="G369" s="293">
        <f>VLOOKUP(E369+1,'Cashflow Details'!$1:$1005,123)/12</f>
        <v>-49.069362103268908</v>
      </c>
    </row>
    <row r="370" spans="2:7" ht="15.75" customHeight="1">
      <c r="B370" s="288"/>
      <c r="C370" s="288"/>
      <c r="D370" s="288"/>
      <c r="E370" s="289">
        <f t="shared" si="634"/>
        <v>30</v>
      </c>
      <c r="F370" s="292">
        <f t="shared" ca="1" si="622"/>
        <v>57040</v>
      </c>
      <c r="G370" s="293">
        <f>VLOOKUP(E370+1,'Cashflow Details'!$1:$1005,123)/12</f>
        <v>-49.069362103268908</v>
      </c>
    </row>
    <row r="371" spans="2:7" ht="15.75" customHeight="1">
      <c r="B371" s="288"/>
      <c r="C371" s="288"/>
      <c r="D371" s="288"/>
      <c r="E371" s="289">
        <f t="shared" si="634"/>
        <v>30</v>
      </c>
      <c r="F371" s="292">
        <f t="shared" ca="1" si="622"/>
        <v>57071</v>
      </c>
      <c r="G371" s="293">
        <f>VLOOKUP(E371+1,'Cashflow Details'!$1:$1005,123)/12</f>
        <v>-49.069362103268908</v>
      </c>
    </row>
    <row r="372" spans="2:7" ht="15.75" customHeight="1">
      <c r="B372" s="288"/>
      <c r="C372" s="288"/>
      <c r="D372" s="288"/>
      <c r="E372" s="289">
        <f t="shared" si="634"/>
        <v>30</v>
      </c>
      <c r="F372" s="292">
        <f t="shared" ca="1" si="622"/>
        <v>57101</v>
      </c>
      <c r="G372" s="293">
        <f>VLOOKUP(E372+1,'Cashflow Details'!$1:$1005,123)/12</f>
        <v>-49.069362103268908</v>
      </c>
    </row>
    <row r="373" spans="2:7" ht="15.75" customHeight="1">
      <c r="B373" s="288"/>
      <c r="C373" s="288"/>
      <c r="D373" s="288"/>
      <c r="E373" s="289">
        <f t="shared" si="634"/>
        <v>30</v>
      </c>
      <c r="F373" s="292">
        <f t="shared" ca="1" si="622"/>
        <v>57132</v>
      </c>
      <c r="G373" s="293">
        <f>VLOOKUP(E373+1,'Cashflow Details'!$1:$1005,123)/12</f>
        <v>-49.069362103268908</v>
      </c>
    </row>
    <row r="374" spans="2:7" ht="15.75" customHeight="1">
      <c r="B374" s="288"/>
      <c r="C374" s="288"/>
      <c r="D374" s="288"/>
      <c r="E374" s="289">
        <f t="shared" si="634"/>
        <v>30</v>
      </c>
      <c r="F374" s="292">
        <f t="shared" ca="1" si="622"/>
        <v>57162</v>
      </c>
      <c r="G374" s="293">
        <f>VLOOKUP(E374+1,'Cashflow Details'!$1:$1005,123)/12</f>
        <v>-49.069362103268908</v>
      </c>
    </row>
    <row r="375" spans="2:7" ht="15.75" customHeight="1">
      <c r="B375" s="288"/>
      <c r="C375" s="288"/>
      <c r="D375" s="288"/>
      <c r="E375" s="289">
        <f t="shared" si="634"/>
        <v>30</v>
      </c>
      <c r="F375" s="292">
        <f t="shared" ca="1" si="622"/>
        <v>57193</v>
      </c>
      <c r="G375" s="293">
        <f>VLOOKUP(E375+1,'Cashflow Details'!$1:$1005,123)/12</f>
        <v>-49.069362103268908</v>
      </c>
    </row>
    <row r="376" spans="2:7" ht="15.75" customHeight="1">
      <c r="B376" s="288"/>
      <c r="C376" s="288"/>
      <c r="D376" s="288"/>
      <c r="E376" s="289">
        <f t="shared" si="634"/>
        <v>31</v>
      </c>
      <c r="F376" s="292">
        <f t="shared" ca="1" si="622"/>
        <v>57224</v>
      </c>
      <c r="G376" s="293">
        <f>VLOOKUP(E376+1,'Cashflow Details'!$1:$1005,123)/12</f>
        <v>-46.544082678668019</v>
      </c>
    </row>
    <row r="377" spans="2:7" ht="15.75" customHeight="1">
      <c r="B377" s="288"/>
      <c r="C377" s="288"/>
      <c r="D377" s="288"/>
      <c r="E377" s="289">
        <f t="shared" si="634"/>
        <v>31</v>
      </c>
      <c r="F377" s="292">
        <f t="shared" ca="1" si="622"/>
        <v>57254</v>
      </c>
      <c r="G377" s="293">
        <f>VLOOKUP(E377+1,'Cashflow Details'!$1:$1005,123)/12</f>
        <v>-46.544082678668019</v>
      </c>
    </row>
    <row r="378" spans="2:7" ht="15.75" customHeight="1">
      <c r="B378" s="288"/>
      <c r="C378" s="288"/>
      <c r="D378" s="288"/>
      <c r="E378" s="289">
        <f t="shared" si="634"/>
        <v>31</v>
      </c>
      <c r="F378" s="292">
        <f t="shared" ca="1" si="622"/>
        <v>57285</v>
      </c>
      <c r="G378" s="293">
        <f>VLOOKUP(E378+1,'Cashflow Details'!$1:$1005,123)/12</f>
        <v>-46.544082678668019</v>
      </c>
    </row>
    <row r="379" spans="2:7" ht="15.75" customHeight="1">
      <c r="B379" s="288"/>
      <c r="C379" s="288"/>
      <c r="D379" s="288"/>
      <c r="E379" s="289">
        <f t="shared" si="634"/>
        <v>31</v>
      </c>
      <c r="F379" s="292">
        <f t="shared" ca="1" si="622"/>
        <v>57315</v>
      </c>
      <c r="G379" s="293">
        <f>VLOOKUP(E379+1,'Cashflow Details'!$1:$1005,123)/12</f>
        <v>-46.544082678668019</v>
      </c>
    </row>
    <row r="380" spans="2:7" ht="15.75" customHeight="1">
      <c r="B380" s="288"/>
      <c r="C380" s="288"/>
      <c r="D380" s="288"/>
      <c r="E380" s="289">
        <f t="shared" si="634"/>
        <v>31</v>
      </c>
      <c r="F380" s="292">
        <f t="shared" ca="1" si="622"/>
        <v>57346</v>
      </c>
      <c r="G380" s="293">
        <f>VLOOKUP(E380+1,'Cashflow Details'!$1:$1005,123)/12</f>
        <v>-46.544082678668019</v>
      </c>
    </row>
    <row r="381" spans="2:7" ht="15.75" customHeight="1">
      <c r="B381" s="288"/>
      <c r="C381" s="288"/>
      <c r="D381" s="288"/>
      <c r="E381" s="289">
        <f t="shared" si="634"/>
        <v>31</v>
      </c>
      <c r="F381" s="292">
        <f t="shared" ca="1" si="622"/>
        <v>57377</v>
      </c>
      <c r="G381" s="293">
        <f>VLOOKUP(E381+1,'Cashflow Details'!$1:$1005,123)/12</f>
        <v>-46.544082678668019</v>
      </c>
    </row>
    <row r="382" spans="2:7" ht="15.75" customHeight="1">
      <c r="B382" s="288"/>
      <c r="C382" s="288"/>
      <c r="D382" s="288"/>
      <c r="E382" s="289">
        <f t="shared" si="634"/>
        <v>31</v>
      </c>
      <c r="F382" s="292">
        <f t="shared" ca="1" si="622"/>
        <v>57405</v>
      </c>
      <c r="G382" s="293">
        <f>VLOOKUP(E382+1,'Cashflow Details'!$1:$1005,123)/12</f>
        <v>-46.544082678668019</v>
      </c>
    </row>
    <row r="383" spans="2:7" ht="15.75" customHeight="1">
      <c r="B383" s="288"/>
      <c r="C383" s="288"/>
      <c r="D383" s="288"/>
      <c r="E383" s="289">
        <f t="shared" si="634"/>
        <v>31</v>
      </c>
      <c r="F383" s="292">
        <f t="shared" ca="1" si="622"/>
        <v>57436</v>
      </c>
      <c r="G383" s="293">
        <f>VLOOKUP(E383+1,'Cashflow Details'!$1:$1005,123)/12</f>
        <v>-46.544082678668019</v>
      </c>
    </row>
    <row r="384" spans="2:7" ht="15.75" customHeight="1">
      <c r="B384" s="288"/>
      <c r="C384" s="288"/>
      <c r="D384" s="288"/>
      <c r="E384" s="289">
        <f t="shared" si="634"/>
        <v>31</v>
      </c>
      <c r="F384" s="292">
        <f t="shared" ca="1" si="622"/>
        <v>57466</v>
      </c>
      <c r="G384" s="293">
        <f>VLOOKUP(E384+1,'Cashflow Details'!$1:$1005,123)/12</f>
        <v>-46.544082678668019</v>
      </c>
    </row>
    <row r="385" spans="2:7" ht="15.75" customHeight="1">
      <c r="B385" s="288"/>
      <c r="C385" s="288"/>
      <c r="D385" s="288"/>
      <c r="E385" s="289">
        <f t="shared" si="634"/>
        <v>31</v>
      </c>
      <c r="F385" s="292">
        <f t="shared" ca="1" si="622"/>
        <v>57497</v>
      </c>
      <c r="G385" s="293">
        <f>VLOOKUP(E385+1,'Cashflow Details'!$1:$1005,123)/12</f>
        <v>-46.544082678668019</v>
      </c>
    </row>
    <row r="386" spans="2:7" ht="15.75" customHeight="1">
      <c r="B386" s="288"/>
      <c r="C386" s="288"/>
      <c r="D386" s="288"/>
      <c r="E386" s="289">
        <f t="shared" si="634"/>
        <v>31</v>
      </c>
      <c r="F386" s="292">
        <f t="shared" ca="1" si="622"/>
        <v>57527</v>
      </c>
      <c r="G386" s="293">
        <f>VLOOKUP(E386+1,'Cashflow Details'!$1:$1005,123)/12</f>
        <v>-46.544082678668019</v>
      </c>
    </row>
    <row r="387" spans="2:7" ht="15.75" customHeight="1">
      <c r="B387" s="288"/>
      <c r="C387" s="288"/>
      <c r="D387" s="288"/>
      <c r="E387" s="289">
        <f t="shared" si="634"/>
        <v>31</v>
      </c>
      <c r="F387" s="292">
        <f t="shared" ca="1" si="622"/>
        <v>57558</v>
      </c>
      <c r="G387" s="293">
        <f>VLOOKUP(E387+1,'Cashflow Details'!$1:$1005,123)/12</f>
        <v>-46.544082678668019</v>
      </c>
    </row>
    <row r="388" spans="2:7" ht="15.75" customHeight="1">
      <c r="B388" s="288"/>
      <c r="C388" s="288"/>
      <c r="D388" s="288"/>
      <c r="E388" s="289">
        <f t="shared" si="634"/>
        <v>32</v>
      </c>
      <c r="F388" s="292">
        <f t="shared" ca="1" si="622"/>
        <v>57589</v>
      </c>
      <c r="G388" s="293">
        <f>VLOOKUP(E388+1,'Cashflow Details'!$1:$1005,123)/12</f>
        <v>-44.274964332241019</v>
      </c>
    </row>
    <row r="389" spans="2:7" ht="15.75" customHeight="1">
      <c r="B389" s="288"/>
      <c r="C389" s="288"/>
      <c r="D389" s="288"/>
      <c r="E389" s="289">
        <f t="shared" si="634"/>
        <v>32</v>
      </c>
      <c r="F389" s="292">
        <f t="shared" ca="1" si="622"/>
        <v>57619</v>
      </c>
      <c r="G389" s="293">
        <f>VLOOKUP(E389+1,'Cashflow Details'!$1:$1005,123)/12</f>
        <v>-44.274964332241019</v>
      </c>
    </row>
    <row r="390" spans="2:7" ht="15.75" customHeight="1">
      <c r="B390" s="288"/>
      <c r="C390" s="288"/>
      <c r="D390" s="288"/>
      <c r="E390" s="289">
        <f t="shared" si="634"/>
        <v>32</v>
      </c>
      <c r="F390" s="292">
        <f t="shared" ca="1" si="622"/>
        <v>57650</v>
      </c>
      <c r="G390" s="293">
        <f>VLOOKUP(E390+1,'Cashflow Details'!$1:$1005,123)/12</f>
        <v>-44.274964332241019</v>
      </c>
    </row>
    <row r="391" spans="2:7" ht="15.75" customHeight="1">
      <c r="B391" s="288"/>
      <c r="C391" s="288"/>
      <c r="D391" s="288"/>
      <c r="E391" s="289">
        <f t="shared" si="634"/>
        <v>32</v>
      </c>
      <c r="F391" s="292">
        <f t="shared" ca="1" si="622"/>
        <v>57680</v>
      </c>
      <c r="G391" s="293">
        <f>VLOOKUP(E391+1,'Cashflow Details'!$1:$1005,123)/12</f>
        <v>-44.274964332241019</v>
      </c>
    </row>
    <row r="392" spans="2:7" ht="15.75" customHeight="1">
      <c r="B392" s="288"/>
      <c r="C392" s="288"/>
      <c r="D392" s="288"/>
      <c r="E392" s="289">
        <f t="shared" si="634"/>
        <v>32</v>
      </c>
      <c r="F392" s="292">
        <f t="shared" ca="1" si="622"/>
        <v>57711</v>
      </c>
      <c r="G392" s="293">
        <f>VLOOKUP(E392+1,'Cashflow Details'!$1:$1005,123)/12</f>
        <v>-44.274964332241019</v>
      </c>
    </row>
    <row r="393" spans="2:7" ht="15.75" customHeight="1">
      <c r="B393" s="288"/>
      <c r="C393" s="288"/>
      <c r="D393" s="288"/>
      <c r="E393" s="289">
        <f t="shared" si="634"/>
        <v>32</v>
      </c>
      <c r="F393" s="292">
        <f t="shared" ca="1" si="622"/>
        <v>57742</v>
      </c>
      <c r="G393" s="293">
        <f>VLOOKUP(E393+1,'Cashflow Details'!$1:$1005,123)/12</f>
        <v>-44.274964332241019</v>
      </c>
    </row>
    <row r="394" spans="2:7" ht="15.75" customHeight="1">
      <c r="B394" s="288"/>
      <c r="C394" s="288"/>
      <c r="D394" s="288"/>
      <c r="E394" s="289">
        <f t="shared" si="634"/>
        <v>32</v>
      </c>
      <c r="F394" s="292">
        <f t="shared" ca="1" si="622"/>
        <v>57770</v>
      </c>
      <c r="G394" s="293">
        <f>VLOOKUP(E394+1,'Cashflow Details'!$1:$1005,123)/12</f>
        <v>-44.274964332241019</v>
      </c>
    </row>
    <row r="395" spans="2:7" ht="15.75" customHeight="1">
      <c r="B395" s="288"/>
      <c r="C395" s="288"/>
      <c r="D395" s="288"/>
      <c r="E395" s="289">
        <f t="shared" si="634"/>
        <v>32</v>
      </c>
      <c r="F395" s="292">
        <f t="shared" ca="1" si="622"/>
        <v>57801</v>
      </c>
      <c r="G395" s="293">
        <f>VLOOKUP(E395+1,'Cashflow Details'!$1:$1005,123)/12</f>
        <v>-44.274964332241019</v>
      </c>
    </row>
    <row r="396" spans="2:7" ht="15.75" customHeight="1">
      <c r="B396" s="288"/>
      <c r="C396" s="288"/>
      <c r="D396" s="288"/>
      <c r="E396" s="289">
        <f t="shared" si="634"/>
        <v>32</v>
      </c>
      <c r="F396" s="292">
        <f t="shared" ca="1" si="622"/>
        <v>57831</v>
      </c>
      <c r="G396" s="293">
        <f>VLOOKUP(E396+1,'Cashflow Details'!$1:$1005,123)/12</f>
        <v>-44.274964332241019</v>
      </c>
    </row>
    <row r="397" spans="2:7" ht="15.75" customHeight="1">
      <c r="B397" s="288"/>
      <c r="C397" s="288"/>
      <c r="D397" s="288"/>
      <c r="E397" s="289">
        <f t="shared" si="634"/>
        <v>32</v>
      </c>
      <c r="F397" s="292">
        <f t="shared" ca="1" si="622"/>
        <v>57862</v>
      </c>
      <c r="G397" s="293">
        <f>VLOOKUP(E397+1,'Cashflow Details'!$1:$1005,123)/12</f>
        <v>-44.274964332241019</v>
      </c>
    </row>
    <row r="398" spans="2:7" ht="15.75" customHeight="1">
      <c r="B398" s="288"/>
      <c r="C398" s="288"/>
      <c r="D398" s="288"/>
      <c r="E398" s="289">
        <f t="shared" si="634"/>
        <v>32</v>
      </c>
      <c r="F398" s="292">
        <f t="shared" ca="1" si="622"/>
        <v>57892</v>
      </c>
      <c r="G398" s="293">
        <f>VLOOKUP(E398+1,'Cashflow Details'!$1:$1005,123)/12</f>
        <v>-44.274964332241019</v>
      </c>
    </row>
    <row r="399" spans="2:7" ht="15.75" customHeight="1">
      <c r="B399" s="288"/>
      <c r="C399" s="288"/>
      <c r="D399" s="288"/>
      <c r="E399" s="289">
        <f t="shared" si="634"/>
        <v>32</v>
      </c>
      <c r="F399" s="292">
        <f t="shared" ca="1" si="622"/>
        <v>57923</v>
      </c>
      <c r="G399" s="293">
        <f>VLOOKUP(E399+1,'Cashflow Details'!$1:$1005,123)/12</f>
        <v>-44.274964332241019</v>
      </c>
    </row>
    <row r="400" spans="2:7" ht="15.75" customHeight="1">
      <c r="B400" s="288"/>
      <c r="C400" s="288"/>
      <c r="D400" s="288"/>
      <c r="E400" s="289">
        <f t="shared" si="634"/>
        <v>33</v>
      </c>
      <c r="F400" s="292">
        <f t="shared" ca="1" si="622"/>
        <v>57954</v>
      </c>
      <c r="G400" s="293">
        <f>VLOOKUP(E400+1,'Cashflow Details'!$1:$1005,123)/12</f>
        <v>-42.167130285552354</v>
      </c>
    </row>
    <row r="401" spans="2:7" ht="15.75" customHeight="1">
      <c r="B401" s="288"/>
      <c r="C401" s="288"/>
      <c r="D401" s="288"/>
      <c r="E401" s="289">
        <f t="shared" si="634"/>
        <v>33</v>
      </c>
      <c r="F401" s="292">
        <f t="shared" ca="1" si="622"/>
        <v>57984</v>
      </c>
      <c r="G401" s="293">
        <f>VLOOKUP(E401+1,'Cashflow Details'!$1:$1005,123)/12</f>
        <v>-42.167130285552354</v>
      </c>
    </row>
    <row r="402" spans="2:7" ht="15.75" customHeight="1">
      <c r="B402" s="288"/>
      <c r="C402" s="288"/>
      <c r="D402" s="288"/>
      <c r="E402" s="289">
        <f t="shared" si="634"/>
        <v>33</v>
      </c>
      <c r="F402" s="292">
        <f t="shared" ca="1" si="622"/>
        <v>58015</v>
      </c>
      <c r="G402" s="293">
        <f>VLOOKUP(E402+1,'Cashflow Details'!$1:$1005,123)/12</f>
        <v>-42.167130285552354</v>
      </c>
    </row>
    <row r="403" spans="2:7" ht="15.75" customHeight="1">
      <c r="B403" s="288"/>
      <c r="C403" s="288"/>
      <c r="D403" s="288"/>
      <c r="E403" s="289">
        <f t="shared" si="634"/>
        <v>33</v>
      </c>
      <c r="F403" s="292">
        <f t="shared" ca="1" si="622"/>
        <v>58045</v>
      </c>
      <c r="G403" s="293">
        <f>VLOOKUP(E403+1,'Cashflow Details'!$1:$1005,123)/12</f>
        <v>-42.167130285552354</v>
      </c>
    </row>
    <row r="404" spans="2:7" ht="15.75" customHeight="1">
      <c r="B404" s="288"/>
      <c r="C404" s="288"/>
      <c r="D404" s="288"/>
      <c r="E404" s="289">
        <f t="shared" si="634"/>
        <v>33</v>
      </c>
      <c r="F404" s="292">
        <f t="shared" ca="1" si="622"/>
        <v>58076</v>
      </c>
      <c r="G404" s="293">
        <f>VLOOKUP(E404+1,'Cashflow Details'!$1:$1005,123)/12</f>
        <v>-42.167130285552354</v>
      </c>
    </row>
    <row r="405" spans="2:7" ht="15.75" customHeight="1">
      <c r="B405" s="288"/>
      <c r="C405" s="288"/>
      <c r="D405" s="288"/>
      <c r="E405" s="289">
        <f t="shared" si="634"/>
        <v>33</v>
      </c>
      <c r="F405" s="292">
        <f t="shared" ca="1" si="622"/>
        <v>58107</v>
      </c>
      <c r="G405" s="293">
        <f>VLOOKUP(E405+1,'Cashflow Details'!$1:$1005,123)/12</f>
        <v>-42.167130285552354</v>
      </c>
    </row>
    <row r="406" spans="2:7" ht="15.75" customHeight="1">
      <c r="B406" s="288"/>
      <c r="C406" s="288"/>
      <c r="D406" s="288"/>
      <c r="E406" s="289">
        <f t="shared" si="634"/>
        <v>33</v>
      </c>
      <c r="F406" s="292">
        <f t="shared" ca="1" si="622"/>
        <v>58135</v>
      </c>
      <c r="G406" s="293">
        <f>VLOOKUP(E406+1,'Cashflow Details'!$1:$1005,123)/12</f>
        <v>-42.167130285552354</v>
      </c>
    </row>
    <row r="407" spans="2:7" ht="15.75" customHeight="1">
      <c r="B407" s="288"/>
      <c r="C407" s="288"/>
      <c r="D407" s="288"/>
      <c r="E407" s="289">
        <f t="shared" si="634"/>
        <v>33</v>
      </c>
      <c r="F407" s="292">
        <f t="shared" ca="1" si="622"/>
        <v>58166</v>
      </c>
      <c r="G407" s="293">
        <f>VLOOKUP(E407+1,'Cashflow Details'!$1:$1005,123)/12</f>
        <v>-42.167130285552354</v>
      </c>
    </row>
    <row r="408" spans="2:7" ht="15.75" customHeight="1">
      <c r="B408" s="288"/>
      <c r="C408" s="288"/>
      <c r="D408" s="288"/>
      <c r="E408" s="289">
        <f t="shared" si="634"/>
        <v>33</v>
      </c>
      <c r="F408" s="292">
        <f t="shared" ca="1" si="622"/>
        <v>58196</v>
      </c>
      <c r="G408" s="293">
        <f>VLOOKUP(E408+1,'Cashflow Details'!$1:$1005,123)/12</f>
        <v>-42.167130285552354</v>
      </c>
    </row>
    <row r="409" spans="2:7" ht="15.75" customHeight="1">
      <c r="B409" s="288"/>
      <c r="C409" s="288"/>
      <c r="D409" s="288"/>
      <c r="E409" s="289">
        <f t="shared" si="634"/>
        <v>33</v>
      </c>
      <c r="F409" s="292">
        <f t="shared" ca="1" si="622"/>
        <v>58227</v>
      </c>
      <c r="G409" s="293">
        <f>VLOOKUP(E409+1,'Cashflow Details'!$1:$1005,123)/12</f>
        <v>-42.167130285552354</v>
      </c>
    </row>
    <row r="410" spans="2:7" ht="15.75" customHeight="1">
      <c r="B410" s="288"/>
      <c r="C410" s="288"/>
      <c r="D410" s="288"/>
      <c r="E410" s="289">
        <f t="shared" si="634"/>
        <v>33</v>
      </c>
      <c r="F410" s="292">
        <f t="shared" ca="1" si="622"/>
        <v>58257</v>
      </c>
      <c r="G410" s="293">
        <f>VLOOKUP(E410+1,'Cashflow Details'!$1:$1005,123)/12</f>
        <v>-42.167130285552354</v>
      </c>
    </row>
    <row r="411" spans="2:7" ht="15.75" customHeight="1">
      <c r="B411" s="288"/>
      <c r="C411" s="288"/>
      <c r="D411" s="288"/>
      <c r="E411" s="289">
        <f t="shared" si="634"/>
        <v>33</v>
      </c>
      <c r="F411" s="292">
        <f t="shared" ca="1" si="622"/>
        <v>58288</v>
      </c>
      <c r="G411" s="293">
        <f>VLOOKUP(E411+1,'Cashflow Details'!$1:$1005,123)/12</f>
        <v>-42.167130285552354</v>
      </c>
    </row>
    <row r="412" spans="2:7" ht="15.75" customHeight="1">
      <c r="B412" s="288"/>
      <c r="C412" s="288"/>
      <c r="D412" s="288"/>
      <c r="E412" s="289">
        <f t="shared" si="634"/>
        <v>34</v>
      </c>
      <c r="F412" s="292">
        <f t="shared" ca="1" si="622"/>
        <v>58319</v>
      </c>
      <c r="G412" s="293">
        <f>VLOOKUP(E412+1,'Cashflow Details'!$1:$1005,123)/12</f>
        <v>526.22447606045682</v>
      </c>
    </row>
    <row r="413" spans="2:7" ht="15.75" customHeight="1">
      <c r="B413" s="288"/>
      <c r="C413" s="288"/>
      <c r="D413" s="288"/>
      <c r="E413" s="289">
        <f t="shared" si="634"/>
        <v>34</v>
      </c>
      <c r="F413" s="292">
        <f t="shared" ca="1" si="622"/>
        <v>58349</v>
      </c>
      <c r="G413" s="293">
        <f>VLOOKUP(E413+1,'Cashflow Details'!$1:$1005,123)/12</f>
        <v>526.22447606045682</v>
      </c>
    </row>
    <row r="414" spans="2:7" ht="15.75" customHeight="1">
      <c r="B414" s="288"/>
      <c r="C414" s="288"/>
      <c r="D414" s="288"/>
      <c r="E414" s="289">
        <f t="shared" si="634"/>
        <v>34</v>
      </c>
      <c r="F414" s="292">
        <f t="shared" ca="1" si="622"/>
        <v>58380</v>
      </c>
      <c r="G414" s="293">
        <f>VLOOKUP(E414+1,'Cashflow Details'!$1:$1005,123)/12</f>
        <v>526.22447606045682</v>
      </c>
    </row>
    <row r="415" spans="2:7" ht="15.75" customHeight="1">
      <c r="B415" s="288"/>
      <c r="C415" s="288"/>
      <c r="D415" s="288"/>
      <c r="E415" s="289">
        <f t="shared" si="634"/>
        <v>34</v>
      </c>
      <c r="F415" s="292">
        <f t="shared" ca="1" si="622"/>
        <v>58410</v>
      </c>
      <c r="G415" s="293">
        <f>VLOOKUP(E415+1,'Cashflow Details'!$1:$1005,123)/12</f>
        <v>526.22447606045682</v>
      </c>
    </row>
    <row r="416" spans="2:7" ht="15.75" customHeight="1">
      <c r="B416" s="288"/>
      <c r="C416" s="288"/>
      <c r="D416" s="288"/>
      <c r="E416" s="289">
        <f t="shared" si="634"/>
        <v>34</v>
      </c>
      <c r="F416" s="292">
        <f t="shared" ca="1" si="622"/>
        <v>58441</v>
      </c>
      <c r="G416" s="293">
        <f>VLOOKUP(E416+1,'Cashflow Details'!$1:$1005,123)/12</f>
        <v>526.22447606045682</v>
      </c>
    </row>
    <row r="417" spans="2:7" ht="15.75" customHeight="1">
      <c r="B417" s="288"/>
      <c r="C417" s="288"/>
      <c r="D417" s="288"/>
      <c r="E417" s="289">
        <f t="shared" si="634"/>
        <v>34</v>
      </c>
      <c r="F417" s="292">
        <f t="shared" ca="1" si="622"/>
        <v>58472</v>
      </c>
      <c r="G417" s="293">
        <f>VLOOKUP(E417+1,'Cashflow Details'!$1:$1005,123)/12</f>
        <v>526.22447606045682</v>
      </c>
    </row>
    <row r="418" spans="2:7" ht="15.75" customHeight="1">
      <c r="B418" s="288"/>
      <c r="C418" s="288"/>
      <c r="D418" s="288"/>
      <c r="E418" s="289">
        <f t="shared" si="634"/>
        <v>34</v>
      </c>
      <c r="F418" s="292">
        <f t="shared" ca="1" si="622"/>
        <v>58501</v>
      </c>
      <c r="G418" s="293">
        <f>VLOOKUP(E418+1,'Cashflow Details'!$1:$1005,123)/12</f>
        <v>526.22447606045682</v>
      </c>
    </row>
    <row r="419" spans="2:7" ht="15.75" customHeight="1">
      <c r="B419" s="288"/>
      <c r="C419" s="288"/>
      <c r="D419" s="288"/>
      <c r="E419" s="289">
        <f t="shared" si="634"/>
        <v>34</v>
      </c>
      <c r="F419" s="292">
        <f t="shared" ca="1" si="622"/>
        <v>58532</v>
      </c>
      <c r="G419" s="293">
        <f>VLOOKUP(E419+1,'Cashflow Details'!$1:$1005,123)/12</f>
        <v>526.22447606045682</v>
      </c>
    </row>
    <row r="420" spans="2:7" ht="15.75" customHeight="1">
      <c r="B420" s="288"/>
      <c r="C420" s="288"/>
      <c r="D420" s="288"/>
      <c r="E420" s="289">
        <f t="shared" si="634"/>
        <v>34</v>
      </c>
      <c r="F420" s="292">
        <f t="shared" ca="1" si="622"/>
        <v>58562</v>
      </c>
      <c r="G420" s="293">
        <f>VLOOKUP(E420+1,'Cashflow Details'!$1:$1005,123)/12</f>
        <v>526.22447606045682</v>
      </c>
    </row>
    <row r="421" spans="2:7" ht="15.75" customHeight="1">
      <c r="B421" s="288"/>
      <c r="C421" s="288"/>
      <c r="D421" s="288"/>
      <c r="E421" s="289">
        <f t="shared" si="634"/>
        <v>34</v>
      </c>
      <c r="F421" s="292">
        <f t="shared" ca="1" si="622"/>
        <v>58593</v>
      </c>
      <c r="G421" s="293">
        <f>VLOOKUP(E421+1,'Cashflow Details'!$1:$1005,123)/12</f>
        <v>526.22447606045682</v>
      </c>
    </row>
    <row r="422" spans="2:7" ht="15.75" customHeight="1">
      <c r="B422" s="288"/>
      <c r="C422" s="288"/>
      <c r="D422" s="288"/>
      <c r="E422" s="289">
        <f t="shared" si="634"/>
        <v>34</v>
      </c>
      <c r="F422" s="292">
        <f t="shared" ca="1" si="622"/>
        <v>58623</v>
      </c>
      <c r="G422" s="293">
        <f>VLOOKUP(E422+1,'Cashflow Details'!$1:$1005,123)/12</f>
        <v>526.22447606045682</v>
      </c>
    </row>
    <row r="423" spans="2:7" ht="15.75" customHeight="1">
      <c r="B423" s="288"/>
      <c r="C423" s="288"/>
      <c r="D423" s="288"/>
      <c r="E423" s="289">
        <f t="shared" si="634"/>
        <v>34</v>
      </c>
      <c r="F423" s="292">
        <f t="shared" ca="1" si="622"/>
        <v>58654</v>
      </c>
      <c r="G423" s="293">
        <f>VLOOKUP(E423+1,'Cashflow Details'!$1:$1005,123)/12</f>
        <v>526.22447606045682</v>
      </c>
    </row>
    <row r="424" spans="2:7" ht="15.75" customHeight="1">
      <c r="B424" s="288"/>
      <c r="C424" s="288"/>
      <c r="D424" s="288"/>
      <c r="E424" s="289">
        <f t="shared" si="634"/>
        <v>35</v>
      </c>
      <c r="F424" s="292">
        <f t="shared" ca="1" si="622"/>
        <v>58685</v>
      </c>
      <c r="G424" s="293">
        <f>VLOOKUP(E424+1,'Cashflow Details'!$1:$1005,123)/12</f>
        <v>1014.7786843175778</v>
      </c>
    </row>
    <row r="425" spans="2:7" ht="15.75" customHeight="1">
      <c r="B425" s="288"/>
      <c r="C425" s="288"/>
      <c r="D425" s="288"/>
      <c r="E425" s="289">
        <f t="shared" si="634"/>
        <v>35</v>
      </c>
      <c r="F425" s="292">
        <f t="shared" ca="1" si="622"/>
        <v>58715</v>
      </c>
      <c r="G425" s="293">
        <f>VLOOKUP(E425+1,'Cashflow Details'!$1:$1005,123)/12</f>
        <v>1014.7786843175778</v>
      </c>
    </row>
    <row r="426" spans="2:7" ht="15.75" customHeight="1">
      <c r="B426" s="288"/>
      <c r="C426" s="288"/>
      <c r="D426" s="288"/>
      <c r="E426" s="289">
        <f t="shared" si="634"/>
        <v>35</v>
      </c>
      <c r="F426" s="292">
        <f t="shared" ca="1" si="622"/>
        <v>58746</v>
      </c>
      <c r="G426" s="293">
        <f>VLOOKUP(E426+1,'Cashflow Details'!$1:$1005,123)/12</f>
        <v>1014.7786843175778</v>
      </c>
    </row>
    <row r="427" spans="2:7" ht="15.75" customHeight="1">
      <c r="B427" s="288"/>
      <c r="C427" s="288"/>
      <c r="D427" s="288"/>
      <c r="E427" s="289">
        <f t="shared" si="634"/>
        <v>35</v>
      </c>
      <c r="F427" s="292">
        <f t="shared" ca="1" si="622"/>
        <v>58776</v>
      </c>
      <c r="G427" s="293">
        <f>VLOOKUP(E427+1,'Cashflow Details'!$1:$1005,123)/12</f>
        <v>1014.7786843175778</v>
      </c>
    </row>
    <row r="428" spans="2:7" ht="15.75" customHeight="1">
      <c r="B428" s="288"/>
      <c r="C428" s="288"/>
      <c r="D428" s="288"/>
      <c r="E428" s="289">
        <f t="shared" si="634"/>
        <v>35</v>
      </c>
      <c r="F428" s="292">
        <f t="shared" ca="1" si="622"/>
        <v>58807</v>
      </c>
      <c r="G428" s="293">
        <f>VLOOKUP(E428+1,'Cashflow Details'!$1:$1005,123)/12</f>
        <v>1014.7786843175778</v>
      </c>
    </row>
    <row r="429" spans="2:7" ht="15.75" customHeight="1">
      <c r="B429" s="288"/>
      <c r="C429" s="288"/>
      <c r="D429" s="288"/>
      <c r="E429" s="289">
        <f t="shared" si="634"/>
        <v>35</v>
      </c>
      <c r="F429" s="292">
        <f t="shared" ca="1" si="622"/>
        <v>58838</v>
      </c>
      <c r="G429" s="293">
        <f>VLOOKUP(E429+1,'Cashflow Details'!$1:$1005,123)/12</f>
        <v>1014.7786843175778</v>
      </c>
    </row>
    <row r="430" spans="2:7" ht="15.75" customHeight="1">
      <c r="B430" s="288"/>
      <c r="C430" s="288"/>
      <c r="D430" s="288"/>
      <c r="E430" s="289">
        <f t="shared" si="634"/>
        <v>35</v>
      </c>
      <c r="F430" s="292">
        <f t="shared" ca="1" si="622"/>
        <v>58866</v>
      </c>
      <c r="G430" s="293">
        <f>VLOOKUP(E430+1,'Cashflow Details'!$1:$1005,123)/12</f>
        <v>1014.7786843175778</v>
      </c>
    </row>
    <row r="431" spans="2:7" ht="15.75" customHeight="1">
      <c r="B431" s="288"/>
      <c r="C431" s="288"/>
      <c r="D431" s="288"/>
      <c r="E431" s="289">
        <f t="shared" si="634"/>
        <v>35</v>
      </c>
      <c r="F431" s="292">
        <f t="shared" ca="1" si="622"/>
        <v>58897</v>
      </c>
      <c r="G431" s="293">
        <f>VLOOKUP(E431+1,'Cashflow Details'!$1:$1005,123)/12</f>
        <v>1014.7786843175778</v>
      </c>
    </row>
    <row r="432" spans="2:7" ht="15.75" customHeight="1">
      <c r="B432" s="288"/>
      <c r="C432" s="288"/>
      <c r="D432" s="288"/>
      <c r="E432" s="289">
        <f t="shared" si="634"/>
        <v>35</v>
      </c>
      <c r="F432" s="292">
        <f t="shared" ca="1" si="622"/>
        <v>58927</v>
      </c>
      <c r="G432" s="293">
        <f>VLOOKUP(E432+1,'Cashflow Details'!$1:$1005,123)/12</f>
        <v>1014.7786843175778</v>
      </c>
    </row>
    <row r="433" spans="2:7" ht="15.75" customHeight="1">
      <c r="B433" s="288"/>
      <c r="C433" s="288"/>
      <c r="D433" s="288"/>
      <c r="E433" s="289">
        <f t="shared" si="634"/>
        <v>35</v>
      </c>
      <c r="F433" s="292">
        <f t="shared" ca="1" si="622"/>
        <v>58958</v>
      </c>
      <c r="G433" s="293">
        <f>VLOOKUP(E433+1,'Cashflow Details'!$1:$1005,123)/12</f>
        <v>1014.7786843175778</v>
      </c>
    </row>
    <row r="434" spans="2:7" ht="15.75" customHeight="1">
      <c r="B434" s="288"/>
      <c r="C434" s="288"/>
      <c r="D434" s="288"/>
      <c r="E434" s="289">
        <f t="shared" si="634"/>
        <v>35</v>
      </c>
      <c r="F434" s="292">
        <f t="shared" ca="1" si="622"/>
        <v>58988</v>
      </c>
      <c r="G434" s="293">
        <f>VLOOKUP(E434+1,'Cashflow Details'!$1:$1005,123)/12</f>
        <v>1014.7786843175778</v>
      </c>
    </row>
    <row r="435" spans="2:7" ht="15.75" customHeight="1">
      <c r="B435" s="288"/>
      <c r="C435" s="288"/>
      <c r="D435" s="288"/>
      <c r="E435" s="289">
        <f t="shared" si="634"/>
        <v>35</v>
      </c>
      <c r="F435" s="292">
        <f t="shared" ca="1" si="622"/>
        <v>59019</v>
      </c>
      <c r="G435" s="293">
        <f>VLOOKUP(E435+1,'Cashflow Details'!$1:$1005,123)/12</f>
        <v>1014.7786843175778</v>
      </c>
    </row>
    <row r="436" spans="2:7" ht="15.75" customHeight="1">
      <c r="B436" s="288"/>
      <c r="C436" s="288"/>
      <c r="D436" s="288"/>
      <c r="E436" s="289">
        <f t="shared" si="634"/>
        <v>36</v>
      </c>
      <c r="F436" s="292">
        <f t="shared" ca="1" si="622"/>
        <v>59050</v>
      </c>
      <c r="G436" s="293">
        <f>VLOOKUP(E436+1,'Cashflow Details'!$1:$1005,123)/12</f>
        <v>1032.390924670596</v>
      </c>
    </row>
    <row r="437" spans="2:7" ht="15.75" customHeight="1">
      <c r="B437" s="288"/>
      <c r="C437" s="288"/>
      <c r="D437" s="288"/>
      <c r="E437" s="289">
        <f t="shared" si="634"/>
        <v>36</v>
      </c>
      <c r="F437" s="292">
        <f t="shared" ca="1" si="622"/>
        <v>59080</v>
      </c>
      <c r="G437" s="293">
        <f>VLOOKUP(E437+1,'Cashflow Details'!$1:$1005,123)/12</f>
        <v>1032.390924670596</v>
      </c>
    </row>
    <row r="438" spans="2:7" ht="15.75" customHeight="1">
      <c r="B438" s="288"/>
      <c r="C438" s="288"/>
      <c r="D438" s="288"/>
      <c r="E438" s="289">
        <f t="shared" si="634"/>
        <v>36</v>
      </c>
      <c r="F438" s="292">
        <f t="shared" ca="1" si="622"/>
        <v>59111</v>
      </c>
      <c r="G438" s="293">
        <f>VLOOKUP(E438+1,'Cashflow Details'!$1:$1005,123)/12</f>
        <v>1032.390924670596</v>
      </c>
    </row>
    <row r="439" spans="2:7" ht="15.75" customHeight="1">
      <c r="B439" s="288"/>
      <c r="C439" s="288"/>
      <c r="D439" s="288"/>
      <c r="E439" s="289">
        <f t="shared" si="634"/>
        <v>36</v>
      </c>
      <c r="F439" s="292">
        <f t="shared" ca="1" si="622"/>
        <v>59141</v>
      </c>
      <c r="G439" s="293">
        <f>VLOOKUP(E439+1,'Cashflow Details'!$1:$1005,123)/12</f>
        <v>1032.390924670596</v>
      </c>
    </row>
    <row r="440" spans="2:7" ht="15.75" customHeight="1">
      <c r="B440" s="288"/>
      <c r="C440" s="288"/>
      <c r="D440" s="288"/>
      <c r="E440" s="289">
        <f t="shared" si="634"/>
        <v>36</v>
      </c>
      <c r="F440" s="292">
        <f t="shared" ca="1" si="622"/>
        <v>59172</v>
      </c>
      <c r="G440" s="293">
        <f>VLOOKUP(E440+1,'Cashflow Details'!$1:$1005,123)/12</f>
        <v>1032.390924670596</v>
      </c>
    </row>
    <row r="441" spans="2:7" ht="15.75" customHeight="1">
      <c r="B441" s="288"/>
      <c r="C441" s="288"/>
      <c r="D441" s="288"/>
      <c r="E441" s="289">
        <f t="shared" si="634"/>
        <v>36</v>
      </c>
      <c r="F441" s="292">
        <f t="shared" ca="1" si="622"/>
        <v>59203</v>
      </c>
      <c r="G441" s="293">
        <f>VLOOKUP(E441+1,'Cashflow Details'!$1:$1005,123)/12</f>
        <v>1032.390924670596</v>
      </c>
    </row>
    <row r="442" spans="2:7" ht="15.75" customHeight="1">
      <c r="B442" s="288"/>
      <c r="C442" s="288"/>
      <c r="D442" s="288"/>
      <c r="E442" s="289">
        <f t="shared" si="634"/>
        <v>36</v>
      </c>
      <c r="F442" s="292">
        <f t="shared" ca="1" si="622"/>
        <v>59231</v>
      </c>
      <c r="G442" s="293">
        <f>VLOOKUP(E442+1,'Cashflow Details'!$1:$1005,123)/12</f>
        <v>1032.390924670596</v>
      </c>
    </row>
    <row r="443" spans="2:7" ht="15.75" customHeight="1">
      <c r="B443" s="288"/>
      <c r="C443" s="288"/>
      <c r="D443" s="288"/>
      <c r="E443" s="289">
        <f t="shared" si="634"/>
        <v>36</v>
      </c>
      <c r="F443" s="292">
        <f t="shared" ca="1" si="622"/>
        <v>59262</v>
      </c>
      <c r="G443" s="293">
        <f>VLOOKUP(E443+1,'Cashflow Details'!$1:$1005,123)/12</f>
        <v>1032.390924670596</v>
      </c>
    </row>
    <row r="444" spans="2:7" ht="15.75" customHeight="1">
      <c r="B444" s="288"/>
      <c r="C444" s="288"/>
      <c r="D444" s="288"/>
      <c r="E444" s="289">
        <f t="shared" si="634"/>
        <v>36</v>
      </c>
      <c r="F444" s="292">
        <f t="shared" ca="1" si="622"/>
        <v>59292</v>
      </c>
      <c r="G444" s="293">
        <f>VLOOKUP(E444+1,'Cashflow Details'!$1:$1005,123)/12</f>
        <v>1032.390924670596</v>
      </c>
    </row>
    <row r="445" spans="2:7" ht="15.75" customHeight="1">
      <c r="B445" s="288"/>
      <c r="C445" s="288"/>
      <c r="D445" s="288"/>
      <c r="E445" s="289">
        <f t="shared" si="634"/>
        <v>36</v>
      </c>
      <c r="F445" s="292">
        <f t="shared" ca="1" si="622"/>
        <v>59323</v>
      </c>
      <c r="G445" s="293">
        <f>VLOOKUP(E445+1,'Cashflow Details'!$1:$1005,123)/12</f>
        <v>1032.390924670596</v>
      </c>
    </row>
    <row r="446" spans="2:7" ht="15.75" customHeight="1">
      <c r="B446" s="288"/>
      <c r="C446" s="288"/>
      <c r="D446" s="288"/>
      <c r="E446" s="289">
        <f t="shared" si="634"/>
        <v>36</v>
      </c>
      <c r="F446" s="292">
        <f t="shared" ca="1" si="622"/>
        <v>59353</v>
      </c>
      <c r="G446" s="293">
        <f>VLOOKUP(E446+1,'Cashflow Details'!$1:$1005,123)/12</f>
        <v>1032.390924670596</v>
      </c>
    </row>
    <row r="447" spans="2:7" ht="15.75" customHeight="1">
      <c r="B447" s="288"/>
      <c r="C447" s="288"/>
      <c r="D447" s="288"/>
      <c r="E447" s="289">
        <f t="shared" si="634"/>
        <v>36</v>
      </c>
      <c r="F447" s="292">
        <f t="shared" ca="1" si="622"/>
        <v>59384</v>
      </c>
      <c r="G447" s="293">
        <f>VLOOKUP(E447+1,'Cashflow Details'!$1:$1005,123)/12</f>
        <v>1032.390924670596</v>
      </c>
    </row>
    <row r="448" spans="2:7" ht="15.75" customHeight="1">
      <c r="B448" s="288"/>
      <c r="C448" s="288"/>
      <c r="D448" s="288"/>
      <c r="E448" s="289">
        <f t="shared" si="634"/>
        <v>37</v>
      </c>
      <c r="F448" s="292">
        <f t="shared" ca="1" si="622"/>
        <v>59415</v>
      </c>
      <c r="G448" s="293">
        <f>VLOOKUP(E448+1,'Cashflow Details'!$1:$1005,123)/12</f>
        <v>1050.3904098306748</v>
      </c>
    </row>
    <row r="449" spans="2:7" ht="15.75" customHeight="1">
      <c r="B449" s="288"/>
      <c r="C449" s="288"/>
      <c r="D449" s="288"/>
      <c r="E449" s="289">
        <f t="shared" si="634"/>
        <v>37</v>
      </c>
      <c r="F449" s="292">
        <f t="shared" ca="1" si="622"/>
        <v>59445</v>
      </c>
      <c r="G449" s="293">
        <f>VLOOKUP(E449+1,'Cashflow Details'!$1:$1005,123)/12</f>
        <v>1050.3904098306748</v>
      </c>
    </row>
    <row r="450" spans="2:7" ht="15.75" customHeight="1">
      <c r="B450" s="288"/>
      <c r="C450" s="288"/>
      <c r="D450" s="288"/>
      <c r="E450" s="289">
        <f t="shared" si="634"/>
        <v>37</v>
      </c>
      <c r="F450" s="292">
        <f t="shared" ca="1" si="622"/>
        <v>59476</v>
      </c>
      <c r="G450" s="293">
        <f>VLOOKUP(E450+1,'Cashflow Details'!$1:$1005,123)/12</f>
        <v>1050.3904098306748</v>
      </c>
    </row>
    <row r="451" spans="2:7" ht="15.75" customHeight="1">
      <c r="B451" s="288"/>
      <c r="C451" s="288"/>
      <c r="D451" s="288"/>
      <c r="E451" s="289">
        <f t="shared" si="634"/>
        <v>37</v>
      </c>
      <c r="F451" s="292">
        <f t="shared" ca="1" si="622"/>
        <v>59506</v>
      </c>
      <c r="G451" s="293">
        <f>VLOOKUP(E451+1,'Cashflow Details'!$1:$1005,123)/12</f>
        <v>1050.3904098306748</v>
      </c>
    </row>
    <row r="452" spans="2:7" ht="15.75" customHeight="1">
      <c r="B452" s="288"/>
      <c r="C452" s="288"/>
      <c r="D452" s="288"/>
      <c r="E452" s="289">
        <f t="shared" si="634"/>
        <v>37</v>
      </c>
      <c r="F452" s="292">
        <f t="shared" ca="1" si="622"/>
        <v>59537</v>
      </c>
      <c r="G452" s="293">
        <f>VLOOKUP(E452+1,'Cashflow Details'!$1:$1005,123)/12</f>
        <v>1050.3904098306748</v>
      </c>
    </row>
    <row r="453" spans="2:7" ht="15.75" customHeight="1">
      <c r="B453" s="288"/>
      <c r="C453" s="288"/>
      <c r="D453" s="288"/>
      <c r="E453" s="289">
        <f t="shared" si="634"/>
        <v>37</v>
      </c>
      <c r="F453" s="292">
        <f t="shared" ca="1" si="622"/>
        <v>59568</v>
      </c>
      <c r="G453" s="293">
        <f>VLOOKUP(E453+1,'Cashflow Details'!$1:$1005,123)/12</f>
        <v>1050.3904098306748</v>
      </c>
    </row>
    <row r="454" spans="2:7" ht="15.75" customHeight="1">
      <c r="B454" s="288"/>
      <c r="C454" s="288"/>
      <c r="D454" s="288"/>
      <c r="E454" s="289">
        <f t="shared" si="634"/>
        <v>37</v>
      </c>
      <c r="F454" s="292">
        <f t="shared" ca="1" si="622"/>
        <v>59596</v>
      </c>
      <c r="G454" s="293">
        <f>VLOOKUP(E454+1,'Cashflow Details'!$1:$1005,123)/12</f>
        <v>1050.3904098306748</v>
      </c>
    </row>
    <row r="455" spans="2:7" ht="15.75" customHeight="1">
      <c r="B455" s="288"/>
      <c r="C455" s="288"/>
      <c r="D455" s="288"/>
      <c r="E455" s="289">
        <f t="shared" si="634"/>
        <v>37</v>
      </c>
      <c r="F455" s="292">
        <f t="shared" ca="1" si="622"/>
        <v>59627</v>
      </c>
      <c r="G455" s="293">
        <f>VLOOKUP(E455+1,'Cashflow Details'!$1:$1005,123)/12</f>
        <v>1050.3904098306748</v>
      </c>
    </row>
    <row r="456" spans="2:7" ht="15.75" customHeight="1">
      <c r="B456" s="288"/>
      <c r="C456" s="288"/>
      <c r="D456" s="288"/>
      <c r="E456" s="289">
        <f t="shared" si="634"/>
        <v>37</v>
      </c>
      <c r="F456" s="292">
        <f t="shared" ca="1" si="622"/>
        <v>59657</v>
      </c>
      <c r="G456" s="293">
        <f>VLOOKUP(E456+1,'Cashflow Details'!$1:$1005,123)/12</f>
        <v>1050.3904098306748</v>
      </c>
    </row>
    <row r="457" spans="2:7" ht="15.75" customHeight="1">
      <c r="B457" s="288"/>
      <c r="C457" s="288"/>
      <c r="D457" s="288"/>
      <c r="E457" s="289">
        <f t="shared" si="634"/>
        <v>37</v>
      </c>
      <c r="F457" s="292">
        <f t="shared" ca="1" si="622"/>
        <v>59688</v>
      </c>
      <c r="G457" s="293">
        <f>VLOOKUP(E457+1,'Cashflow Details'!$1:$1005,123)/12</f>
        <v>1050.3904098306748</v>
      </c>
    </row>
    <row r="458" spans="2:7" ht="15.75" customHeight="1">
      <c r="B458" s="288"/>
      <c r="C458" s="288"/>
      <c r="D458" s="288"/>
      <c r="E458" s="289">
        <f t="shared" si="634"/>
        <v>37</v>
      </c>
      <c r="F458" s="292">
        <f t="shared" ca="1" si="622"/>
        <v>59718</v>
      </c>
      <c r="G458" s="293">
        <f>VLOOKUP(E458+1,'Cashflow Details'!$1:$1005,123)/12</f>
        <v>1050.3904098306748</v>
      </c>
    </row>
    <row r="459" spans="2:7" ht="15.75" customHeight="1">
      <c r="B459" s="288"/>
      <c r="C459" s="288"/>
      <c r="D459" s="288"/>
      <c r="E459" s="289">
        <f t="shared" si="634"/>
        <v>37</v>
      </c>
      <c r="F459" s="292">
        <f t="shared" ca="1" si="622"/>
        <v>59749</v>
      </c>
      <c r="G459" s="293">
        <f>VLOOKUP(E459+1,'Cashflow Details'!$1:$1005,123)/12</f>
        <v>1050.3904098306748</v>
      </c>
    </row>
    <row r="460" spans="2:7" ht="15.75" customHeight="1">
      <c r="B460" s="288"/>
      <c r="C460" s="288"/>
      <c r="D460" s="288"/>
      <c r="E460" s="289">
        <f t="shared" si="634"/>
        <v>38</v>
      </c>
      <c r="F460" s="292">
        <f t="shared" ca="1" si="622"/>
        <v>59780</v>
      </c>
      <c r="G460" s="293">
        <f>VLOOKUP(E460+1,'Cashflow Details'!$1:$1005,123)/12</f>
        <v>1068.7065513606219</v>
      </c>
    </row>
    <row r="461" spans="2:7" ht="15.75" customHeight="1">
      <c r="B461" s="288"/>
      <c r="C461" s="288"/>
      <c r="D461" s="288"/>
      <c r="E461" s="289">
        <f t="shared" si="634"/>
        <v>38</v>
      </c>
      <c r="F461" s="292">
        <f t="shared" ca="1" si="622"/>
        <v>59810</v>
      </c>
      <c r="G461" s="293">
        <f>VLOOKUP(E461+1,'Cashflow Details'!$1:$1005,123)/12</f>
        <v>1068.7065513606219</v>
      </c>
    </row>
    <row r="462" spans="2:7" ht="15.75" customHeight="1">
      <c r="B462" s="288"/>
      <c r="C462" s="288"/>
      <c r="D462" s="288"/>
      <c r="E462" s="289">
        <f t="shared" si="634"/>
        <v>38</v>
      </c>
      <c r="F462" s="292">
        <f t="shared" ca="1" si="622"/>
        <v>59841</v>
      </c>
      <c r="G462" s="293">
        <f>VLOOKUP(E462+1,'Cashflow Details'!$1:$1005,123)/12</f>
        <v>1068.7065513606219</v>
      </c>
    </row>
    <row r="463" spans="2:7" ht="15.75" customHeight="1">
      <c r="B463" s="288"/>
      <c r="C463" s="288"/>
      <c r="D463" s="288"/>
      <c r="E463" s="289">
        <f t="shared" si="634"/>
        <v>38</v>
      </c>
      <c r="F463" s="292">
        <f t="shared" ca="1" si="622"/>
        <v>59871</v>
      </c>
      <c r="G463" s="293">
        <f>VLOOKUP(E463+1,'Cashflow Details'!$1:$1005,123)/12</f>
        <v>1068.7065513606219</v>
      </c>
    </row>
    <row r="464" spans="2:7" ht="15.75" customHeight="1">
      <c r="B464" s="288"/>
      <c r="C464" s="288"/>
      <c r="D464" s="288"/>
      <c r="E464" s="289">
        <f t="shared" si="634"/>
        <v>38</v>
      </c>
      <c r="F464" s="292">
        <f t="shared" ca="1" si="622"/>
        <v>59902</v>
      </c>
      <c r="G464" s="293">
        <f>VLOOKUP(E464+1,'Cashflow Details'!$1:$1005,123)/12</f>
        <v>1068.7065513606219</v>
      </c>
    </row>
    <row r="465" spans="2:7" ht="15.75" customHeight="1">
      <c r="B465" s="288"/>
      <c r="C465" s="288"/>
      <c r="D465" s="288"/>
      <c r="E465" s="289">
        <f t="shared" si="634"/>
        <v>38</v>
      </c>
      <c r="F465" s="292">
        <f t="shared" ca="1" si="622"/>
        <v>59933</v>
      </c>
      <c r="G465" s="293">
        <f>VLOOKUP(E465+1,'Cashflow Details'!$1:$1005,123)/12</f>
        <v>1068.7065513606219</v>
      </c>
    </row>
    <row r="466" spans="2:7" ht="15.75" customHeight="1">
      <c r="B466" s="288"/>
      <c r="C466" s="288"/>
      <c r="D466" s="288"/>
      <c r="E466" s="289">
        <f t="shared" si="634"/>
        <v>38</v>
      </c>
      <c r="F466" s="292">
        <f t="shared" ca="1" si="622"/>
        <v>59962</v>
      </c>
      <c r="G466" s="293">
        <f>VLOOKUP(E466+1,'Cashflow Details'!$1:$1005,123)/12</f>
        <v>1068.7065513606219</v>
      </c>
    </row>
    <row r="467" spans="2:7" ht="15.75" customHeight="1">
      <c r="B467" s="288"/>
      <c r="C467" s="288"/>
      <c r="D467" s="288"/>
      <c r="E467" s="289">
        <f t="shared" si="634"/>
        <v>38</v>
      </c>
      <c r="F467" s="292">
        <f t="shared" ca="1" si="622"/>
        <v>59993</v>
      </c>
      <c r="G467" s="293">
        <f>VLOOKUP(E467+1,'Cashflow Details'!$1:$1005,123)/12</f>
        <v>1068.7065513606219</v>
      </c>
    </row>
    <row r="468" spans="2:7" ht="15.75" customHeight="1">
      <c r="B468" s="288"/>
      <c r="C468" s="288"/>
      <c r="D468" s="288"/>
      <c r="E468" s="289">
        <f t="shared" si="634"/>
        <v>38</v>
      </c>
      <c r="F468" s="292">
        <f t="shared" ca="1" si="622"/>
        <v>60023</v>
      </c>
      <c r="G468" s="293">
        <f>VLOOKUP(E468+1,'Cashflow Details'!$1:$1005,123)/12</f>
        <v>1068.7065513606219</v>
      </c>
    </row>
    <row r="469" spans="2:7" ht="15.75" customHeight="1">
      <c r="B469" s="288"/>
      <c r="C469" s="288"/>
      <c r="D469" s="288"/>
      <c r="E469" s="289">
        <f t="shared" si="634"/>
        <v>38</v>
      </c>
      <c r="F469" s="292">
        <f t="shared" ca="1" si="622"/>
        <v>60054</v>
      </c>
      <c r="G469" s="293">
        <f>VLOOKUP(E469+1,'Cashflow Details'!$1:$1005,123)/12</f>
        <v>1068.7065513606219</v>
      </c>
    </row>
    <row r="470" spans="2:7" ht="15.75" customHeight="1">
      <c r="B470" s="288"/>
      <c r="C470" s="288"/>
      <c r="D470" s="288"/>
      <c r="E470" s="289">
        <f t="shared" si="634"/>
        <v>38</v>
      </c>
      <c r="F470" s="292">
        <f t="shared" ca="1" si="622"/>
        <v>60084</v>
      </c>
      <c r="G470" s="293">
        <f>VLOOKUP(E470+1,'Cashflow Details'!$1:$1005,123)/12</f>
        <v>1068.7065513606219</v>
      </c>
    </row>
    <row r="471" spans="2:7" ht="15.75" customHeight="1">
      <c r="B471" s="288"/>
      <c r="C471" s="288"/>
      <c r="D471" s="288"/>
      <c r="E471" s="289">
        <f t="shared" si="634"/>
        <v>38</v>
      </c>
      <c r="F471" s="292">
        <f t="shared" ca="1" si="622"/>
        <v>60115</v>
      </c>
      <c r="G471" s="293">
        <f>VLOOKUP(E471+1,'Cashflow Details'!$1:$1005,123)/12</f>
        <v>1068.7065513606219</v>
      </c>
    </row>
    <row r="472" spans="2:7" ht="15.75" customHeight="1">
      <c r="B472" s="288"/>
      <c r="C472" s="288"/>
      <c r="D472" s="288"/>
      <c r="E472" s="289">
        <f t="shared" si="634"/>
        <v>39</v>
      </c>
      <c r="F472" s="292">
        <f t="shared" ca="1" si="622"/>
        <v>60146</v>
      </c>
      <c r="G472" s="293">
        <f>VLOOKUP(E472+1,'Cashflow Details'!$1:$1005,123)/12</f>
        <v>1087.4356823878334</v>
      </c>
    </row>
    <row r="473" spans="2:7" ht="15.75" customHeight="1">
      <c r="B473" s="288"/>
      <c r="C473" s="288"/>
      <c r="D473" s="288"/>
      <c r="E473" s="289">
        <f t="shared" si="634"/>
        <v>39</v>
      </c>
      <c r="F473" s="292">
        <f t="shared" ca="1" si="622"/>
        <v>60176</v>
      </c>
      <c r="G473" s="293">
        <f>VLOOKUP(E473+1,'Cashflow Details'!$1:$1005,123)/12</f>
        <v>1087.4356823878334</v>
      </c>
    </row>
    <row r="474" spans="2:7" ht="15.75" customHeight="1">
      <c r="B474" s="288"/>
      <c r="C474" s="288"/>
      <c r="D474" s="288"/>
      <c r="E474" s="289">
        <f t="shared" si="634"/>
        <v>39</v>
      </c>
      <c r="F474" s="292">
        <f t="shared" ca="1" si="622"/>
        <v>60207</v>
      </c>
      <c r="G474" s="293">
        <f>VLOOKUP(E474+1,'Cashflow Details'!$1:$1005,123)/12</f>
        <v>1087.4356823878334</v>
      </c>
    </row>
    <row r="475" spans="2:7" ht="15.75" customHeight="1">
      <c r="B475" s="288"/>
      <c r="C475" s="288"/>
      <c r="D475" s="288"/>
      <c r="E475" s="289">
        <f t="shared" si="634"/>
        <v>39</v>
      </c>
      <c r="F475" s="292">
        <f t="shared" ca="1" si="622"/>
        <v>60237</v>
      </c>
      <c r="G475" s="293">
        <f>VLOOKUP(E475+1,'Cashflow Details'!$1:$1005,123)/12</f>
        <v>1087.4356823878334</v>
      </c>
    </row>
    <row r="476" spans="2:7" ht="15.75" customHeight="1">
      <c r="B476" s="288"/>
      <c r="C476" s="288"/>
      <c r="D476" s="288"/>
      <c r="E476" s="289">
        <f t="shared" si="634"/>
        <v>39</v>
      </c>
      <c r="F476" s="292">
        <f t="shared" ca="1" si="622"/>
        <v>60268</v>
      </c>
      <c r="G476" s="293">
        <f>VLOOKUP(E476+1,'Cashflow Details'!$1:$1005,123)/12</f>
        <v>1087.4356823878334</v>
      </c>
    </row>
    <row r="477" spans="2:7" ht="15.75" customHeight="1">
      <c r="B477" s="288"/>
      <c r="C477" s="288"/>
      <c r="D477" s="288"/>
      <c r="E477" s="289">
        <f t="shared" si="634"/>
        <v>39</v>
      </c>
      <c r="F477" s="292">
        <f t="shared" ca="1" si="622"/>
        <v>60299</v>
      </c>
      <c r="G477" s="293">
        <f>VLOOKUP(E477+1,'Cashflow Details'!$1:$1005,123)/12</f>
        <v>1087.4356823878334</v>
      </c>
    </row>
    <row r="478" spans="2:7" ht="15.75" customHeight="1">
      <c r="B478" s="288"/>
      <c r="C478" s="288"/>
      <c r="D478" s="288"/>
      <c r="E478" s="289">
        <f t="shared" si="634"/>
        <v>39</v>
      </c>
      <c r="F478" s="292">
        <f t="shared" ca="1" si="622"/>
        <v>60327</v>
      </c>
      <c r="G478" s="293">
        <f>VLOOKUP(E478+1,'Cashflow Details'!$1:$1005,123)/12</f>
        <v>1087.4356823878334</v>
      </c>
    </row>
    <row r="479" spans="2:7" ht="15.75" customHeight="1">
      <c r="B479" s="288"/>
      <c r="C479" s="288"/>
      <c r="D479" s="288"/>
      <c r="E479" s="289">
        <f t="shared" si="634"/>
        <v>39</v>
      </c>
      <c r="F479" s="292">
        <f t="shared" ca="1" si="622"/>
        <v>60358</v>
      </c>
      <c r="G479" s="293">
        <f>VLOOKUP(E479+1,'Cashflow Details'!$1:$1005,123)/12</f>
        <v>1087.4356823878334</v>
      </c>
    </row>
    <row r="480" spans="2:7" ht="15.75" customHeight="1">
      <c r="B480" s="288"/>
      <c r="C480" s="288"/>
      <c r="D480" s="288"/>
      <c r="E480" s="289">
        <f t="shared" si="634"/>
        <v>39</v>
      </c>
      <c r="F480" s="292">
        <f t="shared" ca="1" si="622"/>
        <v>60388</v>
      </c>
      <c r="G480" s="293">
        <f>VLOOKUP(E480+1,'Cashflow Details'!$1:$1005,123)/12</f>
        <v>1087.4356823878334</v>
      </c>
    </row>
    <row r="481" spans="2:7" ht="15.75" customHeight="1">
      <c r="B481" s="288"/>
      <c r="C481" s="288"/>
      <c r="D481" s="288"/>
      <c r="E481" s="289">
        <f t="shared" si="634"/>
        <v>39</v>
      </c>
      <c r="F481" s="292">
        <f t="shared" ca="1" si="622"/>
        <v>60419</v>
      </c>
      <c r="G481" s="293">
        <f>VLOOKUP(E481+1,'Cashflow Details'!$1:$1005,123)/12</f>
        <v>1087.4356823878334</v>
      </c>
    </row>
    <row r="482" spans="2:7" ht="15.75" customHeight="1">
      <c r="B482" s="288"/>
      <c r="C482" s="288"/>
      <c r="D482" s="288"/>
      <c r="E482" s="289">
        <f t="shared" si="634"/>
        <v>39</v>
      </c>
      <c r="F482" s="292">
        <f t="shared" ca="1" si="622"/>
        <v>60449</v>
      </c>
      <c r="G482" s="293">
        <f>VLOOKUP(E482+1,'Cashflow Details'!$1:$1005,123)/12</f>
        <v>1087.4356823878334</v>
      </c>
    </row>
    <row r="483" spans="2:7" ht="15.75" customHeight="1">
      <c r="B483" s="288"/>
      <c r="C483" s="288"/>
      <c r="D483" s="288"/>
      <c r="E483" s="289">
        <f t="shared" si="634"/>
        <v>39</v>
      </c>
      <c r="F483" s="292">
        <f t="shared" ca="1" si="622"/>
        <v>60480</v>
      </c>
      <c r="G483" s="293">
        <f>VLOOKUP(E483+1,'Cashflow Details'!$1:$1005,123)/12</f>
        <v>1087.4356823878334</v>
      </c>
    </row>
    <row r="484" spans="2:7" ht="15.75" customHeight="1">
      <c r="B484" s="288"/>
      <c r="C484" s="288"/>
      <c r="D484" s="288"/>
      <c r="E484" s="289">
        <f t="shared" si="634"/>
        <v>40</v>
      </c>
      <c r="F484" s="292">
        <f t="shared" ca="1" si="622"/>
        <v>60511</v>
      </c>
      <c r="G484" s="293">
        <f>'Immobilie als Kapitalanlage'!J53*1000</f>
        <v>327000000</v>
      </c>
    </row>
  </sheetData>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O1618"/>
  <sheetViews>
    <sheetView workbookViewId="0">
      <selection activeCell="B53" sqref="B53"/>
    </sheetView>
  </sheetViews>
  <sheetFormatPr baseColWidth="10" defaultColWidth="11.1796875" defaultRowHeight="15" customHeight="1"/>
  <cols>
    <col min="1" max="7" width="8.90625" style="132" customWidth="1"/>
    <col min="8" max="8" width="26.54296875" style="132" customWidth="1"/>
    <col min="9" max="14" width="8.90625" style="132" customWidth="1"/>
    <col min="15" max="15" width="23.6328125" style="132" customWidth="1"/>
    <col min="16" max="16" width="9.90625" style="132" customWidth="1"/>
    <col min="17" max="41" width="8.90625" style="132" customWidth="1"/>
    <col min="42" max="16384" width="11.1796875" style="132"/>
  </cols>
  <sheetData>
    <row r="1" spans="1:10" ht="12.75" customHeight="1">
      <c r="A1" s="298" t="s">
        <v>180</v>
      </c>
      <c r="B1" s="299"/>
      <c r="C1" s="299"/>
      <c r="D1" s="300"/>
      <c r="E1" s="299"/>
      <c r="F1" s="301"/>
      <c r="G1" s="299"/>
      <c r="H1" s="299"/>
      <c r="I1" s="302"/>
      <c r="J1" s="299"/>
    </row>
    <row r="2" spans="1:10" ht="12.75" customHeight="1">
      <c r="A2" s="303"/>
      <c r="B2" s="304"/>
      <c r="C2" s="304"/>
      <c r="D2" s="305">
        <v>2023</v>
      </c>
      <c r="E2" s="304"/>
      <c r="F2" s="306"/>
      <c r="G2" s="304"/>
      <c r="H2" s="304"/>
      <c r="I2" s="307"/>
      <c r="J2" s="304"/>
    </row>
    <row r="3" spans="1:10" ht="12.75" customHeight="1">
      <c r="A3" s="303"/>
      <c r="B3" s="304"/>
      <c r="C3" s="304"/>
      <c r="D3" s="304"/>
      <c r="E3" s="304"/>
      <c r="F3" s="306"/>
      <c r="G3" s="304"/>
      <c r="H3" s="304"/>
      <c r="I3" s="307"/>
      <c r="J3" s="304"/>
    </row>
    <row r="4" spans="1:10" ht="12.75" customHeight="1">
      <c r="A4" s="303"/>
      <c r="B4" s="304"/>
      <c r="C4" s="304"/>
      <c r="D4" s="304"/>
      <c r="E4" s="304"/>
      <c r="F4" s="306"/>
      <c r="G4" s="304"/>
      <c r="H4" s="304"/>
      <c r="I4" s="308"/>
      <c r="J4" s="304"/>
    </row>
    <row r="5" spans="1:10" ht="12.75" customHeight="1">
      <c r="A5" s="303"/>
      <c r="B5" s="304"/>
      <c r="C5" s="304"/>
      <c r="D5" s="304"/>
      <c r="E5" s="304"/>
      <c r="F5" s="304"/>
      <c r="G5" s="304"/>
      <c r="H5" s="304"/>
      <c r="I5" s="304"/>
      <c r="J5" s="304"/>
    </row>
    <row r="6" spans="1:10" ht="13.5" customHeight="1">
      <c r="A6" s="303"/>
      <c r="B6" s="304"/>
      <c r="C6" s="304"/>
      <c r="D6" s="309">
        <v>10908</v>
      </c>
      <c r="E6" s="304"/>
      <c r="F6" s="304"/>
      <c r="G6" s="304"/>
      <c r="H6" s="304"/>
      <c r="I6" s="304"/>
      <c r="J6" s="304"/>
    </row>
    <row r="7" spans="1:10" ht="13.5" customHeight="1">
      <c r="A7" s="303"/>
      <c r="B7" s="304"/>
      <c r="C7" s="304"/>
      <c r="D7" s="304"/>
      <c r="E7" s="304"/>
      <c r="F7" s="304"/>
      <c r="G7" s="304"/>
      <c r="H7" s="304"/>
      <c r="I7" s="304"/>
      <c r="J7" s="304"/>
    </row>
    <row r="8" spans="1:10" ht="13.5" customHeight="1">
      <c r="A8" s="303"/>
      <c r="B8" s="304"/>
      <c r="C8" s="304"/>
      <c r="D8" s="309">
        <v>10909</v>
      </c>
      <c r="E8" s="310" t="s">
        <v>181</v>
      </c>
      <c r="F8" s="309">
        <v>15999</v>
      </c>
      <c r="G8" s="304"/>
      <c r="H8" s="309">
        <v>979.18</v>
      </c>
      <c r="I8" s="309">
        <v>1400</v>
      </c>
      <c r="J8" s="304"/>
    </row>
    <row r="9" spans="1:10" ht="12.75" customHeight="1">
      <c r="A9" s="303"/>
      <c r="B9" s="304"/>
      <c r="C9" s="304"/>
      <c r="D9" s="304"/>
      <c r="E9" s="304"/>
      <c r="F9" s="304"/>
      <c r="G9" s="304"/>
      <c r="H9" s="304"/>
      <c r="I9" s="304"/>
      <c r="J9" s="304"/>
    </row>
    <row r="10" spans="1:10" ht="14.25" customHeight="1">
      <c r="A10" s="303"/>
      <c r="B10" s="304"/>
      <c r="C10" s="304"/>
      <c r="D10" s="309">
        <v>16000</v>
      </c>
      <c r="E10" s="310" t="s">
        <v>181</v>
      </c>
      <c r="F10" s="309">
        <v>62809</v>
      </c>
      <c r="G10" s="304"/>
      <c r="H10" s="309">
        <v>192.59</v>
      </c>
      <c r="I10" s="309">
        <v>2397</v>
      </c>
      <c r="J10" s="309">
        <v>966.53</v>
      </c>
    </row>
    <row r="11" spans="1:10" ht="15" customHeight="1">
      <c r="A11" s="303"/>
      <c r="B11" s="304"/>
      <c r="C11" s="304"/>
      <c r="D11" s="304"/>
      <c r="E11" s="304"/>
      <c r="F11" s="304"/>
      <c r="G11" s="304"/>
      <c r="H11" s="304"/>
      <c r="I11" s="304"/>
      <c r="J11" s="304"/>
    </row>
    <row r="12" spans="1:10" ht="15" customHeight="1">
      <c r="A12" s="303"/>
      <c r="B12" s="304"/>
      <c r="C12" s="304"/>
      <c r="D12" s="309">
        <v>62810</v>
      </c>
      <c r="E12" s="311" t="s">
        <v>181</v>
      </c>
      <c r="F12" s="309">
        <v>277825</v>
      </c>
      <c r="G12" s="304"/>
      <c r="H12" s="309">
        <v>0.42</v>
      </c>
      <c r="I12" s="309">
        <v>9972.98</v>
      </c>
      <c r="J12" s="304"/>
    </row>
    <row r="13" spans="1:10" ht="15" customHeight="1">
      <c r="A13" s="303"/>
      <c r="B13" s="304"/>
      <c r="C13" s="304"/>
      <c r="D13" s="304"/>
      <c r="E13" s="304"/>
      <c r="F13" s="304"/>
      <c r="G13" s="304"/>
      <c r="H13" s="304"/>
      <c r="I13" s="304"/>
      <c r="J13" s="304"/>
    </row>
    <row r="14" spans="1:10" ht="15" customHeight="1">
      <c r="A14" s="303"/>
      <c r="B14" s="304"/>
      <c r="C14" s="304"/>
      <c r="D14" s="309">
        <v>277826</v>
      </c>
      <c r="E14" s="304"/>
      <c r="F14" s="304"/>
      <c r="G14" s="304"/>
      <c r="H14" s="309">
        <v>0.45</v>
      </c>
      <c r="I14" s="309">
        <v>18307.73</v>
      </c>
      <c r="J14" s="304"/>
    </row>
    <row r="18" spans="1:1" ht="12.75" customHeight="1">
      <c r="A18" s="312" t="s">
        <v>182</v>
      </c>
    </row>
    <row r="1618" spans="40:41" ht="13.5" customHeight="1">
      <c r="AN1618" s="313" t="s">
        <v>183</v>
      </c>
      <c r="AO1618" s="313" t="s">
        <v>184</v>
      </c>
    </row>
  </sheetData>
  <hyperlinks>
    <hyperlink ref="A1" r:id="rId1" xr:uid="{00000000-0004-0000-0800-000000000000}"/>
    <hyperlink ref="A18" r:id="rId2" xr:uid="{00000000-0004-0000-0800-000001000000}"/>
  </hyperlinks>
  <pageMargins left="0.7" right="0.7" top="0.78740200000000005" bottom="0.78740200000000005" header="0" footer="0"/>
  <pageSetup orientation="portrait"/>
  <headerFooter>
    <oddFooter>&amp;C000000&amp;P</oddFooter>
  </headerFooter>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sheetPr>
  <dimension ref="A1:DS76"/>
  <sheetViews>
    <sheetView workbookViewId="0">
      <pane xSplit="1" ySplit="3" topLeftCell="B21" activePane="bottomRight" state="frozen"/>
      <selection activeCell="B53" sqref="B53"/>
      <selection pane="topRight" activeCell="B53" sqref="B53"/>
      <selection pane="bottomLeft" activeCell="B53" sqref="B53"/>
      <selection pane="bottomRight" activeCell="B53" sqref="B53"/>
    </sheetView>
  </sheetViews>
  <sheetFormatPr baseColWidth="10" defaultColWidth="11.1796875" defaultRowHeight="15" customHeight="1" outlineLevelCol="1"/>
  <cols>
    <col min="1" max="5" width="11.1796875" style="132" customWidth="1"/>
    <col min="6" max="6" width="11.1796875" style="132" customWidth="1" collapsed="1"/>
    <col min="7" max="9" width="11.1796875" style="132" hidden="1" customWidth="1" outlineLevel="1"/>
    <col min="10" max="10" width="11.1796875" style="132" collapsed="1"/>
    <col min="11" max="13" width="11.1796875" style="132" hidden="1" customWidth="1" outlineLevel="1"/>
    <col min="14" max="14" width="11.1796875" style="132" customWidth="1" collapsed="1"/>
    <col min="15" max="17" width="11.1796875" style="132" hidden="1" customWidth="1" outlineLevel="1"/>
    <col min="18" max="18" width="11.1796875" style="132" collapsed="1"/>
    <col min="19" max="21" width="11.1796875" style="132" hidden="1" customWidth="1" outlineLevel="1"/>
    <col min="22" max="30" width="11.1796875" style="132"/>
    <col min="31" max="31" width="11.1796875" style="132" collapsed="1"/>
    <col min="32" max="33" width="11.1796875" style="132" hidden="1" customWidth="1" outlineLevel="1"/>
    <col min="34" max="34" width="11.1796875" style="132" collapsed="1"/>
    <col min="35" max="36" width="11.1796875" style="132" hidden="1" customWidth="1" outlineLevel="1"/>
    <col min="37" max="39" width="11.1796875" style="132"/>
    <col min="40" max="40" width="11.1796875" style="132" collapsed="1"/>
    <col min="41" max="42" width="11.1796875" style="132" hidden="1" customWidth="1" outlineLevel="1"/>
    <col min="43" max="43" width="11.1796875" style="132" customWidth="1" collapsed="1"/>
    <col min="44" max="44" width="11.1796875" style="132" hidden="1" customWidth="1" outlineLevel="1"/>
    <col min="45" max="45" width="11.1796875" style="132" customWidth="1" collapsed="1"/>
    <col min="46" max="46" width="11.1796875" style="132" hidden="1" customWidth="1" outlineLevel="1"/>
    <col min="47" max="47" width="11.1796875" style="132" collapsed="1"/>
    <col min="48" max="49" width="11.1796875" style="132" hidden="1" customWidth="1" outlineLevel="1"/>
    <col min="50" max="50" width="11.1796875" style="132" customWidth="1" collapsed="1"/>
    <col min="51" max="51" width="11.1796875" style="132" hidden="1" customWidth="1" outlineLevel="1"/>
    <col min="52" max="52" width="11.1796875" style="132" customWidth="1" collapsed="1"/>
    <col min="53" max="53" width="11.1796875" style="132" hidden="1" customWidth="1" outlineLevel="1"/>
    <col min="54" max="54" width="11.1796875" style="132"/>
    <col min="55" max="55" width="11.1796875" style="132" customWidth="1"/>
    <col min="56" max="57" width="11.1796875" style="132" customWidth="1" outlineLevel="1"/>
    <col min="58" max="58" width="11.1796875" style="132"/>
    <col min="59" max="59" width="11.1796875" style="132" collapsed="1"/>
    <col min="60" max="61" width="11.1796875" style="132" hidden="1" customWidth="1" outlineLevel="1"/>
    <col min="62" max="62" width="11.1796875" style="132" collapsed="1"/>
    <col min="63" max="65" width="11.1796875" style="132" hidden="1" customWidth="1" outlineLevel="1"/>
    <col min="66" max="66" width="11.1796875" style="132"/>
    <col min="67" max="73" width="11.1796875" style="132" customWidth="1" outlineLevel="1"/>
    <col min="74" max="74" width="11.1796875" style="132"/>
    <col min="75" max="77" width="11.1796875" style="132" customWidth="1" outlineLevel="1"/>
    <col min="78" max="78" width="11.1796875" style="132"/>
    <col min="79" max="85" width="11.1796875" style="132" customWidth="1" outlineLevel="1"/>
    <col min="86" max="86" width="4.08984375" style="132" customWidth="1"/>
    <col min="87" max="88" width="11.1796875" style="132"/>
    <col min="89" max="89" width="11.1796875" style="132" collapsed="1"/>
    <col min="90" max="92" width="11.1796875" style="132" hidden="1" customWidth="1" outlineLevel="1"/>
    <col min="93" max="93" width="11.1796875" style="132" customWidth="1" collapsed="1"/>
    <col min="94" max="96" width="11.1796875" style="132" hidden="1" customWidth="1" outlineLevel="1"/>
    <col min="97" max="97" width="11.1796875" style="132" customWidth="1" collapsed="1"/>
    <col min="98" max="100" width="11.1796875" style="132" hidden="1" customWidth="1" outlineLevel="1"/>
    <col min="101" max="101" width="11.1796875" style="132" customWidth="1" collapsed="1"/>
    <col min="102" max="104" width="11.1796875" style="132" hidden="1" customWidth="1" outlineLevel="1"/>
    <col min="105" max="105" width="11.1796875" style="132"/>
    <col min="106" max="106" width="11.1796875" style="132" collapsed="1"/>
    <col min="107" max="109" width="11.1796875" style="132" hidden="1" customWidth="1" outlineLevel="1"/>
    <col min="110" max="110" width="11.1796875" style="132" customWidth="1" collapsed="1"/>
    <col min="111" max="113" width="11.1796875" style="132" hidden="1" customWidth="1" outlineLevel="1"/>
    <col min="114" max="114" width="11.1796875" style="132" customWidth="1" collapsed="1"/>
    <col min="115" max="117" width="11.1796875" style="132" hidden="1" customWidth="1" outlineLevel="1"/>
    <col min="118" max="118" width="11.1796875" style="132" customWidth="1" collapsed="1"/>
    <col min="119" max="121" width="11.1796875" style="132" hidden="1" customWidth="1" outlineLevel="1"/>
    <col min="122" max="122" width="3" style="132" customWidth="1"/>
    <col min="123" max="16384" width="11.1796875" style="132"/>
  </cols>
  <sheetData>
    <row r="1" spans="1:123" ht="12" customHeight="1">
      <c r="A1" s="215"/>
      <c r="B1" s="215">
        <v>2</v>
      </c>
      <c r="C1" s="215">
        <v>3</v>
      </c>
      <c r="D1" s="215">
        <v>4</v>
      </c>
      <c r="E1" s="215">
        <v>5</v>
      </c>
      <c r="F1" s="215">
        <v>6</v>
      </c>
      <c r="G1" s="215">
        <v>7</v>
      </c>
      <c r="H1" s="215">
        <v>8</v>
      </c>
      <c r="I1" s="215">
        <v>9</v>
      </c>
      <c r="J1" s="215">
        <v>10</v>
      </c>
      <c r="K1" s="215">
        <v>11</v>
      </c>
      <c r="L1" s="215">
        <v>12</v>
      </c>
      <c r="M1" s="215">
        <v>13</v>
      </c>
      <c r="N1" s="215">
        <v>14</v>
      </c>
      <c r="O1" s="215">
        <v>15</v>
      </c>
      <c r="P1" s="215">
        <v>16</v>
      </c>
      <c r="Q1" s="215">
        <v>17</v>
      </c>
      <c r="R1" s="215">
        <v>18</v>
      </c>
      <c r="S1" s="215">
        <v>19</v>
      </c>
      <c r="T1" s="215">
        <v>20</v>
      </c>
      <c r="U1" s="215">
        <v>21</v>
      </c>
      <c r="V1" s="215">
        <v>22</v>
      </c>
      <c r="W1" s="215">
        <v>23</v>
      </c>
      <c r="X1" s="215">
        <v>24</v>
      </c>
      <c r="Y1" s="215">
        <v>25</v>
      </c>
      <c r="Z1" s="215">
        <v>26</v>
      </c>
      <c r="AA1" s="215">
        <v>27</v>
      </c>
      <c r="AB1" s="215">
        <v>28</v>
      </c>
      <c r="AC1" s="215">
        <v>29</v>
      </c>
      <c r="AD1" s="215">
        <v>30</v>
      </c>
      <c r="AE1" s="215">
        <v>31</v>
      </c>
      <c r="AF1" s="215">
        <v>32</v>
      </c>
      <c r="AG1" s="215">
        <v>33</v>
      </c>
      <c r="AH1" s="215">
        <v>34</v>
      </c>
      <c r="AI1" s="215">
        <v>35</v>
      </c>
      <c r="AJ1" s="215">
        <v>36</v>
      </c>
      <c r="AK1" s="215">
        <v>37</v>
      </c>
      <c r="AL1" s="215">
        <v>38</v>
      </c>
      <c r="AM1" s="215">
        <v>39</v>
      </c>
      <c r="AN1" s="215">
        <v>40</v>
      </c>
      <c r="AO1" s="215">
        <v>41</v>
      </c>
      <c r="AP1" s="215">
        <v>42</v>
      </c>
      <c r="AQ1" s="215">
        <v>43</v>
      </c>
      <c r="AR1" s="215">
        <v>44</v>
      </c>
      <c r="AS1" s="215">
        <v>45</v>
      </c>
      <c r="AT1" s="215">
        <v>46</v>
      </c>
      <c r="AU1" s="215">
        <v>47</v>
      </c>
      <c r="AV1" s="215">
        <v>48</v>
      </c>
      <c r="AW1" s="215">
        <v>49</v>
      </c>
      <c r="AX1" s="215">
        <v>50</v>
      </c>
      <c r="AY1" s="215">
        <v>51</v>
      </c>
      <c r="AZ1" s="215">
        <v>52</v>
      </c>
      <c r="BA1" s="215">
        <v>53</v>
      </c>
      <c r="BB1" s="215">
        <v>54</v>
      </c>
      <c r="BC1" s="215">
        <v>55</v>
      </c>
      <c r="BD1" s="215">
        <v>56</v>
      </c>
      <c r="BE1" s="215">
        <v>57</v>
      </c>
      <c r="BF1" s="215">
        <v>58</v>
      </c>
      <c r="BG1" s="215">
        <v>59</v>
      </c>
      <c r="BH1" s="215">
        <v>60</v>
      </c>
      <c r="BI1" s="215">
        <v>61</v>
      </c>
      <c r="BJ1" s="215">
        <v>62</v>
      </c>
      <c r="BK1" s="215">
        <v>63</v>
      </c>
      <c r="BL1" s="215">
        <v>64</v>
      </c>
      <c r="BM1" s="215">
        <v>65</v>
      </c>
      <c r="BN1" s="215">
        <v>66</v>
      </c>
      <c r="BO1" s="215">
        <v>67</v>
      </c>
      <c r="BP1" s="215">
        <v>68</v>
      </c>
      <c r="BQ1" s="215">
        <v>69</v>
      </c>
      <c r="BR1" s="215">
        <v>70</v>
      </c>
      <c r="BS1" s="215">
        <v>71</v>
      </c>
      <c r="BT1" s="215">
        <v>72</v>
      </c>
      <c r="BU1" s="215">
        <v>73</v>
      </c>
      <c r="BV1" s="215">
        <v>74</v>
      </c>
      <c r="BW1" s="215">
        <v>75</v>
      </c>
      <c r="BX1" s="215">
        <v>76</v>
      </c>
      <c r="BY1" s="215">
        <v>77</v>
      </c>
      <c r="BZ1" s="215">
        <v>78</v>
      </c>
      <c r="CA1" s="215">
        <v>79</v>
      </c>
      <c r="CB1" s="215">
        <v>80</v>
      </c>
      <c r="CC1" s="215">
        <v>81</v>
      </c>
      <c r="CD1" s="215">
        <v>82</v>
      </c>
      <c r="CE1" s="215">
        <v>83</v>
      </c>
      <c r="CF1" s="215">
        <v>84</v>
      </c>
      <c r="CG1" s="215">
        <v>85</v>
      </c>
      <c r="CH1" s="215">
        <v>86</v>
      </c>
      <c r="CI1" s="215">
        <v>87</v>
      </c>
      <c r="CJ1" s="215">
        <v>88</v>
      </c>
      <c r="CK1" s="215">
        <v>90</v>
      </c>
      <c r="CL1" s="215">
        <v>91</v>
      </c>
      <c r="CM1" s="215">
        <v>92</v>
      </c>
      <c r="CN1" s="215">
        <v>93</v>
      </c>
      <c r="CO1" s="215">
        <v>94</v>
      </c>
      <c r="CP1" s="215">
        <v>95</v>
      </c>
      <c r="CQ1" s="215">
        <v>96</v>
      </c>
      <c r="CR1" s="215">
        <v>97</v>
      </c>
      <c r="CS1" s="215">
        <v>98</v>
      </c>
      <c r="CT1" s="215">
        <v>99</v>
      </c>
      <c r="CU1" s="215">
        <v>100</v>
      </c>
      <c r="CV1" s="215">
        <v>101</v>
      </c>
      <c r="CW1" s="215">
        <v>102</v>
      </c>
      <c r="CX1" s="215">
        <v>103</v>
      </c>
      <c r="CY1" s="215">
        <v>104</v>
      </c>
      <c r="CZ1" s="215">
        <v>105</v>
      </c>
      <c r="DA1" s="215">
        <v>89</v>
      </c>
      <c r="DB1" s="215">
        <v>106</v>
      </c>
      <c r="DC1" s="215">
        <v>107</v>
      </c>
      <c r="DD1" s="215">
        <v>108</v>
      </c>
      <c r="DE1" s="215">
        <v>109</v>
      </c>
      <c r="DF1" s="215">
        <v>110</v>
      </c>
      <c r="DG1" s="215">
        <v>111</v>
      </c>
      <c r="DH1" s="215">
        <v>112</v>
      </c>
      <c r="DI1" s="215">
        <v>113</v>
      </c>
      <c r="DJ1" s="215">
        <v>114</v>
      </c>
      <c r="DK1" s="215">
        <v>115</v>
      </c>
      <c r="DL1" s="215">
        <v>116</v>
      </c>
      <c r="DM1" s="215">
        <v>117</v>
      </c>
      <c r="DN1" s="215">
        <v>118</v>
      </c>
      <c r="DO1" s="215">
        <v>119</v>
      </c>
      <c r="DP1" s="215">
        <v>120</v>
      </c>
      <c r="DQ1" s="215">
        <v>121</v>
      </c>
      <c r="DR1" s="215"/>
      <c r="DS1" s="215">
        <v>123</v>
      </c>
    </row>
    <row r="2" spans="1:123" ht="18" customHeight="1">
      <c r="A2" s="216"/>
      <c r="B2" s="216"/>
      <c r="C2" s="216"/>
      <c r="D2" s="216"/>
      <c r="E2" s="216"/>
      <c r="F2" s="217"/>
      <c r="G2" s="216"/>
      <c r="H2" s="216"/>
      <c r="I2" s="216"/>
      <c r="J2" s="218"/>
      <c r="K2" s="216"/>
      <c r="L2" s="216"/>
      <c r="M2" s="216"/>
      <c r="N2" s="216"/>
      <c r="O2" s="216"/>
      <c r="P2" s="216"/>
      <c r="Q2" s="216"/>
      <c r="R2" s="216"/>
      <c r="S2" s="216"/>
      <c r="T2" s="216"/>
      <c r="U2" s="216"/>
      <c r="V2" s="216"/>
      <c r="W2" s="216"/>
      <c r="X2" s="219" t="s">
        <v>102</v>
      </c>
      <c r="Y2" s="216"/>
      <c r="Z2" s="216"/>
      <c r="AA2" s="216"/>
      <c r="AB2" s="216"/>
      <c r="AC2" s="216"/>
      <c r="AD2" s="216"/>
      <c r="AE2" s="216"/>
      <c r="AF2" s="216"/>
      <c r="AG2" s="216"/>
      <c r="AH2" s="216"/>
      <c r="AI2" s="216"/>
      <c r="AJ2" s="216"/>
      <c r="AK2" s="216"/>
      <c r="AL2" s="216"/>
      <c r="AM2" s="216"/>
      <c r="AN2" s="220" t="s">
        <v>103</v>
      </c>
      <c r="AO2" s="216"/>
      <c r="AP2" s="216"/>
      <c r="AQ2" s="216"/>
      <c r="AR2" s="216"/>
      <c r="AS2" s="216"/>
      <c r="AT2" s="216"/>
      <c r="AU2" s="219" t="s">
        <v>102</v>
      </c>
      <c r="AV2" s="221"/>
      <c r="AW2" s="221"/>
      <c r="AX2" s="221"/>
      <c r="AY2" s="221"/>
      <c r="AZ2" s="221"/>
      <c r="BA2" s="221"/>
      <c r="BB2" s="216"/>
      <c r="BC2" s="216"/>
      <c r="BD2" s="216"/>
      <c r="BE2" s="216"/>
      <c r="BF2" s="219" t="s">
        <v>102</v>
      </c>
      <c r="BG2" s="221"/>
      <c r="BH2" s="221"/>
      <c r="BI2" s="221"/>
      <c r="BJ2" s="217"/>
      <c r="BK2" s="217"/>
      <c r="BL2" s="217"/>
      <c r="BM2" s="217"/>
      <c r="BN2" s="217"/>
      <c r="BO2" s="217"/>
      <c r="BP2" s="217"/>
      <c r="BQ2" s="217"/>
      <c r="BR2" s="217"/>
      <c r="BS2" s="217"/>
      <c r="BT2" s="217"/>
      <c r="BU2" s="217"/>
      <c r="BV2" s="219" t="s">
        <v>102</v>
      </c>
      <c r="BW2" s="222"/>
      <c r="BX2" s="222"/>
      <c r="BY2" s="222"/>
      <c r="BZ2" s="442"/>
      <c r="CA2" s="443"/>
      <c r="CB2" s="443"/>
      <c r="CC2" s="443"/>
      <c r="CD2" s="443"/>
      <c r="CE2" s="443"/>
      <c r="CF2" s="443"/>
      <c r="CG2" s="443"/>
      <c r="CH2" s="216"/>
      <c r="CI2" s="216"/>
      <c r="CJ2" s="216"/>
      <c r="CK2" s="216"/>
      <c r="CL2" s="216"/>
      <c r="CM2" s="216"/>
      <c r="CN2" s="216"/>
      <c r="CO2" s="216"/>
      <c r="CP2" s="216"/>
      <c r="CQ2" s="216"/>
      <c r="CR2" s="216"/>
      <c r="CS2" s="216"/>
      <c r="CT2" s="216"/>
      <c r="CU2" s="216"/>
      <c r="CV2" s="216"/>
      <c r="CW2" s="216"/>
      <c r="CX2" s="216"/>
      <c r="CY2" s="216"/>
      <c r="CZ2" s="216"/>
      <c r="DA2" s="219" t="s">
        <v>102</v>
      </c>
      <c r="DB2" s="219"/>
      <c r="DC2" s="221"/>
      <c r="DD2" s="221"/>
      <c r="DE2" s="221"/>
      <c r="DF2" s="221"/>
      <c r="DG2" s="221"/>
      <c r="DH2" s="221"/>
      <c r="DI2" s="221"/>
      <c r="DJ2" s="221"/>
      <c r="DK2" s="221"/>
      <c r="DL2" s="221"/>
      <c r="DM2" s="221"/>
      <c r="DN2" s="221"/>
      <c r="DO2" s="221"/>
      <c r="DP2" s="221"/>
      <c r="DQ2" s="221"/>
      <c r="DR2" s="216"/>
      <c r="DS2" s="216"/>
    </row>
    <row r="3" spans="1:123" ht="220.8">
      <c r="A3" s="216" t="s">
        <v>104</v>
      </c>
      <c r="B3" s="223" t="s">
        <v>213</v>
      </c>
      <c r="C3" s="223" t="s">
        <v>214</v>
      </c>
      <c r="D3" s="223" t="s">
        <v>215</v>
      </c>
      <c r="E3" s="224" t="s">
        <v>216</v>
      </c>
      <c r="F3" s="225" t="s">
        <v>217</v>
      </c>
      <c r="G3" s="225" t="s">
        <v>218</v>
      </c>
      <c r="H3" s="224" t="s">
        <v>219</v>
      </c>
      <c r="I3" s="224" t="s">
        <v>220</v>
      </c>
      <c r="J3" s="224" t="s">
        <v>221</v>
      </c>
      <c r="K3" s="224" t="s">
        <v>222</v>
      </c>
      <c r="L3" s="224" t="s">
        <v>223</v>
      </c>
      <c r="M3" s="224" t="s">
        <v>224</v>
      </c>
      <c r="N3" s="224" t="s">
        <v>225</v>
      </c>
      <c r="O3" s="224" t="s">
        <v>226</v>
      </c>
      <c r="P3" s="224" t="s">
        <v>227</v>
      </c>
      <c r="Q3" s="224" t="s">
        <v>228</v>
      </c>
      <c r="R3" s="225" t="s">
        <v>229</v>
      </c>
      <c r="S3" s="225" t="s">
        <v>230</v>
      </c>
      <c r="T3" s="224" t="s">
        <v>231</v>
      </c>
      <c r="U3" s="224" t="s">
        <v>232</v>
      </c>
      <c r="V3" s="225" t="s">
        <v>233</v>
      </c>
      <c r="W3" s="226" t="s">
        <v>234</v>
      </c>
      <c r="X3" s="226" t="s">
        <v>235</v>
      </c>
      <c r="Y3" s="227" t="s">
        <v>236</v>
      </c>
      <c r="Z3" s="227" t="s">
        <v>237</v>
      </c>
      <c r="AA3" s="227" t="s">
        <v>238</v>
      </c>
      <c r="AB3" s="228" t="s">
        <v>239</v>
      </c>
      <c r="AC3" s="228" t="s">
        <v>240</v>
      </c>
      <c r="AD3" s="228" t="s">
        <v>241</v>
      </c>
      <c r="AE3" s="229" t="s">
        <v>242</v>
      </c>
      <c r="AF3" s="229" t="s">
        <v>243</v>
      </c>
      <c r="AG3" s="229" t="s">
        <v>244</v>
      </c>
      <c r="AH3" s="229" t="s">
        <v>245</v>
      </c>
      <c r="AI3" s="229" t="s">
        <v>246</v>
      </c>
      <c r="AJ3" s="229" t="s">
        <v>247</v>
      </c>
      <c r="AK3" s="229" t="s">
        <v>248</v>
      </c>
      <c r="AL3" s="229" t="s">
        <v>249</v>
      </c>
      <c r="AM3" s="229" t="s">
        <v>250</v>
      </c>
      <c r="AN3" s="229" t="s">
        <v>251</v>
      </c>
      <c r="AO3" s="229" t="s">
        <v>252</v>
      </c>
      <c r="AP3" s="229" t="s">
        <v>253</v>
      </c>
      <c r="AQ3" s="229" t="s">
        <v>254</v>
      </c>
      <c r="AR3" s="229" t="s">
        <v>255</v>
      </c>
      <c r="AS3" s="229" t="s">
        <v>256</v>
      </c>
      <c r="AT3" s="229" t="s">
        <v>257</v>
      </c>
      <c r="AU3" s="229" t="s">
        <v>258</v>
      </c>
      <c r="AV3" s="229" t="s">
        <v>259</v>
      </c>
      <c r="AW3" s="229" t="s">
        <v>260</v>
      </c>
      <c r="AX3" s="229" t="s">
        <v>261</v>
      </c>
      <c r="AY3" s="229" t="s">
        <v>262</v>
      </c>
      <c r="AZ3" s="229" t="s">
        <v>263</v>
      </c>
      <c r="BA3" s="229" t="s">
        <v>264</v>
      </c>
      <c r="BB3" s="229" t="s">
        <v>265</v>
      </c>
      <c r="BC3" s="229" t="s">
        <v>266</v>
      </c>
      <c r="BD3" s="229" t="s">
        <v>267</v>
      </c>
      <c r="BE3" s="229" t="s">
        <v>268</v>
      </c>
      <c r="BF3" s="229" t="s">
        <v>269</v>
      </c>
      <c r="BG3" s="229" t="s">
        <v>270</v>
      </c>
      <c r="BH3" s="229" t="s">
        <v>271</v>
      </c>
      <c r="BI3" s="229" t="s">
        <v>272</v>
      </c>
      <c r="BJ3" s="230" t="s">
        <v>273</v>
      </c>
      <c r="BK3" s="230" t="s">
        <v>274</v>
      </c>
      <c r="BL3" s="230" t="s">
        <v>275</v>
      </c>
      <c r="BM3" s="230" t="s">
        <v>276</v>
      </c>
      <c r="BN3" s="231" t="s">
        <v>277</v>
      </c>
      <c r="BO3" s="231" t="s">
        <v>278</v>
      </c>
      <c r="BP3" s="231" t="s">
        <v>279</v>
      </c>
      <c r="BQ3" s="231" t="s">
        <v>280</v>
      </c>
      <c r="BR3" s="231" t="s">
        <v>281</v>
      </c>
      <c r="BS3" s="231" t="s">
        <v>282</v>
      </c>
      <c r="BT3" s="231" t="s">
        <v>283</v>
      </c>
      <c r="BU3" s="231" t="s">
        <v>284</v>
      </c>
      <c r="BV3" s="230" t="s">
        <v>285</v>
      </c>
      <c r="BW3" s="230" t="s">
        <v>286</v>
      </c>
      <c r="BX3" s="230" t="s">
        <v>287</v>
      </c>
      <c r="BY3" s="230" t="s">
        <v>288</v>
      </c>
      <c r="BZ3" s="231" t="s">
        <v>289</v>
      </c>
      <c r="CA3" s="231" t="s">
        <v>290</v>
      </c>
      <c r="CB3" s="231" t="s">
        <v>291</v>
      </c>
      <c r="CC3" s="231" t="s">
        <v>292</v>
      </c>
      <c r="CD3" s="231" t="s">
        <v>293</v>
      </c>
      <c r="CE3" s="231" t="s">
        <v>294</v>
      </c>
      <c r="CF3" s="231" t="s">
        <v>295</v>
      </c>
      <c r="CG3" s="231" t="s">
        <v>296</v>
      </c>
      <c r="CH3" s="216"/>
      <c r="CI3" s="226" t="s">
        <v>105</v>
      </c>
      <c r="CJ3" s="226" t="s">
        <v>106</v>
      </c>
      <c r="CK3" s="226" t="s">
        <v>107</v>
      </c>
      <c r="CL3" s="226" t="s">
        <v>108</v>
      </c>
      <c r="CM3" s="226" t="s">
        <v>109</v>
      </c>
      <c r="CN3" s="226" t="s">
        <v>110</v>
      </c>
      <c r="CO3" s="226" t="s">
        <v>111</v>
      </c>
      <c r="CP3" s="226" t="s">
        <v>112</v>
      </c>
      <c r="CQ3" s="226" t="s">
        <v>113</v>
      </c>
      <c r="CR3" s="226" t="s">
        <v>114</v>
      </c>
      <c r="CS3" s="226" t="s">
        <v>115</v>
      </c>
      <c r="CT3" s="226" t="s">
        <v>116</v>
      </c>
      <c r="CU3" s="226" t="s">
        <v>117</v>
      </c>
      <c r="CV3" s="226" t="s">
        <v>118</v>
      </c>
      <c r="CW3" s="226" t="s">
        <v>119</v>
      </c>
      <c r="CX3" s="226" t="s">
        <v>120</v>
      </c>
      <c r="CY3" s="226" t="s">
        <v>121</v>
      </c>
      <c r="CZ3" s="226" t="s">
        <v>122</v>
      </c>
      <c r="DA3" s="226" t="s">
        <v>123</v>
      </c>
      <c r="DB3" s="226" t="s">
        <v>124</v>
      </c>
      <c r="DC3" s="226" t="s">
        <v>125</v>
      </c>
      <c r="DD3" s="226" t="s">
        <v>126</v>
      </c>
      <c r="DE3" s="226" t="s">
        <v>127</v>
      </c>
      <c r="DF3" s="226" t="s">
        <v>128</v>
      </c>
      <c r="DG3" s="226" t="s">
        <v>129</v>
      </c>
      <c r="DH3" s="226" t="s">
        <v>130</v>
      </c>
      <c r="DI3" s="226" t="s">
        <v>131</v>
      </c>
      <c r="DJ3" s="226" t="s">
        <v>132</v>
      </c>
      <c r="DK3" s="226" t="s">
        <v>133</v>
      </c>
      <c r="DL3" s="226" t="s">
        <v>134</v>
      </c>
      <c r="DM3" s="226" t="s">
        <v>135</v>
      </c>
      <c r="DN3" s="226" t="s">
        <v>136</v>
      </c>
      <c r="DO3" s="226" t="s">
        <v>137</v>
      </c>
      <c r="DP3" s="226" t="s">
        <v>138</v>
      </c>
      <c r="DQ3" s="226" t="s">
        <v>139</v>
      </c>
      <c r="DR3" s="216"/>
      <c r="DS3" s="232" t="str">
        <f>DA3 &amp; "
entspricht dem Aufwand für den IRR Vergleich"</f>
        <v>Vergleich all
Miete ZIEL
ledig
STANDARD
[EUR]
entspricht dem Aufwand für den IRR Vergleich</v>
      </c>
    </row>
    <row r="4" spans="1:123" ht="15.6">
      <c r="A4" s="233">
        <v>0</v>
      </c>
      <c r="B4" s="234">
        <f>'Immobilie als Kapitalanlage'!C13</f>
        <v>249000</v>
      </c>
      <c r="C4" s="235">
        <f>'Immobilie als Kapitalanlage'!C14</f>
        <v>0</v>
      </c>
      <c r="D4" s="234">
        <f t="shared" ref="D4:D6" si="0">B4+C4</f>
        <v>249000</v>
      </c>
      <c r="E4" s="235">
        <f>'Immobilie als Kapitalanlage'!C15</f>
        <v>0</v>
      </c>
      <c r="F4" s="235">
        <f>'Immobilie als Kapitalanlage'!C25</f>
        <v>249000</v>
      </c>
      <c r="G4" s="235"/>
      <c r="H4" s="236"/>
      <c r="I4" s="237"/>
      <c r="J4" s="238">
        <f t="shared" ref="J4:L4" si="1">F4</f>
        <v>249000</v>
      </c>
      <c r="K4" s="238">
        <f t="shared" si="1"/>
        <v>0</v>
      </c>
      <c r="L4" s="239">
        <f t="shared" si="1"/>
        <v>0</v>
      </c>
      <c r="M4" s="240"/>
      <c r="N4" s="238">
        <f t="shared" ref="N4:P4" si="2">J4</f>
        <v>249000</v>
      </c>
      <c r="O4" s="238">
        <f t="shared" si="2"/>
        <v>0</v>
      </c>
      <c r="P4" s="239">
        <f t="shared" si="2"/>
        <v>0</v>
      </c>
      <c r="Q4" s="240"/>
      <c r="R4" s="133"/>
      <c r="S4" s="133"/>
      <c r="T4" s="133"/>
      <c r="U4" s="133"/>
      <c r="V4" s="133"/>
      <c r="W4" s="133"/>
      <c r="X4" s="133"/>
      <c r="Y4" s="235">
        <f>-AA4</f>
        <v>0</v>
      </c>
      <c r="Z4" s="235">
        <f>-AA4</f>
        <v>0</v>
      </c>
      <c r="AA4" s="235">
        <f>FV((((1+'Immobilie als Kapitalanlage'!$D$80)^(1/12)-1)),A4*12,'Immobilie als Kapitalanlage'!$C$99,-'Immobilie als Kapitalanlage'!$G$95,)</f>
        <v>0</v>
      </c>
      <c r="AB4" s="133"/>
      <c r="AC4" s="241"/>
      <c r="AD4" s="241"/>
      <c r="AE4" s="133"/>
      <c r="AF4" s="133"/>
      <c r="AG4" s="133"/>
      <c r="AH4" s="133"/>
      <c r="AI4" s="133"/>
      <c r="AJ4" s="133"/>
      <c r="AK4" s="133"/>
      <c r="AL4" s="133"/>
      <c r="AM4" s="133"/>
      <c r="AN4" s="133"/>
      <c r="AO4" s="133"/>
      <c r="AP4" s="133"/>
      <c r="AQ4" s="133"/>
      <c r="AR4" s="133"/>
      <c r="AS4" s="133"/>
      <c r="AT4" s="133"/>
      <c r="AU4" s="133"/>
      <c r="AV4" s="133"/>
      <c r="AW4" s="133"/>
      <c r="AX4" s="133"/>
      <c r="AY4" s="133"/>
      <c r="AZ4" s="133"/>
      <c r="BA4" s="133"/>
      <c r="BB4" s="133"/>
      <c r="BC4" s="133"/>
      <c r="BD4" s="133"/>
      <c r="BE4" s="133"/>
      <c r="BF4" s="133"/>
      <c r="BG4" s="133"/>
      <c r="BH4" s="133"/>
      <c r="BI4" s="133"/>
      <c r="BJ4" s="235">
        <f>-'Immobilie als Kapitalanlage'!$C$23-'Immobilie als Kapitalanlage'!$G$95</f>
        <v>-23655</v>
      </c>
      <c r="BK4" s="235">
        <f>-'Immobilie als Kapitalanlage'!$C$23-'Immobilie als Kapitalanlage'!$G$95</f>
        <v>-23655</v>
      </c>
      <c r="BL4" s="235">
        <f>-'Immobilie als Kapitalanlage'!$C$23-'Immobilie als Kapitalanlage'!$G$95</f>
        <v>-23655</v>
      </c>
      <c r="BM4" s="235">
        <f>-'Immobilie als Kapitalanlage'!$C$23-'Immobilie als Kapitalanlage'!$G$95</f>
        <v>-23655</v>
      </c>
      <c r="BN4" s="241">
        <f>-'Immobilie als Kapitalanlage'!$C$23-'Immobilie als Kapitalanlage'!$G$95</f>
        <v>-23655</v>
      </c>
      <c r="BO4" s="241">
        <f>BN4</f>
        <v>-23655</v>
      </c>
      <c r="BP4" s="241">
        <f>-'Immobilie als Kapitalanlage'!$C$23-'Immobilie als Kapitalanlage'!$G$95</f>
        <v>-23655</v>
      </c>
      <c r="BQ4" s="241">
        <f>BP4</f>
        <v>-23655</v>
      </c>
      <c r="BR4" s="241">
        <f>-'Immobilie als Kapitalanlage'!$C$23-'Immobilie als Kapitalanlage'!$G$95</f>
        <v>-23655</v>
      </c>
      <c r="BS4" s="241">
        <f>BR4</f>
        <v>-23655</v>
      </c>
      <c r="BT4" s="241">
        <f>-'Immobilie als Kapitalanlage'!$C$23-'Immobilie als Kapitalanlage'!$G$95</f>
        <v>-23655</v>
      </c>
      <c r="BU4" s="241">
        <f>BT4</f>
        <v>-23655</v>
      </c>
      <c r="BV4" s="235">
        <f>-'Immobilie als Kapitalanlage'!$C$23-'Immobilie als Kapitalanlage'!$G$95</f>
        <v>-23655</v>
      </c>
      <c r="BW4" s="235">
        <f>-'Immobilie als Kapitalanlage'!$C$23-'Immobilie als Kapitalanlage'!$G$95</f>
        <v>-23655</v>
      </c>
      <c r="BX4" s="235">
        <f>-'Immobilie als Kapitalanlage'!$C$23-'Immobilie als Kapitalanlage'!$G$95</f>
        <v>-23655</v>
      </c>
      <c r="BY4" s="235">
        <f>-'Immobilie als Kapitalanlage'!$C$23-'Immobilie als Kapitalanlage'!$G$95</f>
        <v>-23655</v>
      </c>
      <c r="BZ4" s="235">
        <f>-'Immobilie als Kapitalanlage'!$C$23-'Immobilie als Kapitalanlage'!$G$95</f>
        <v>-23655</v>
      </c>
      <c r="CA4" s="235">
        <f>BZ4</f>
        <v>-23655</v>
      </c>
      <c r="CB4" s="235">
        <f>-'Immobilie als Kapitalanlage'!$C$23-'Immobilie als Kapitalanlage'!$G$95</f>
        <v>-23655</v>
      </c>
      <c r="CC4" s="235">
        <f>CB4</f>
        <v>-23655</v>
      </c>
      <c r="CD4" s="235">
        <f>-'Immobilie als Kapitalanlage'!$C$23-'Immobilie als Kapitalanlage'!$G$95</f>
        <v>-23655</v>
      </c>
      <c r="CE4" s="235">
        <f>CD4</f>
        <v>-23655</v>
      </c>
      <c r="CF4" s="235">
        <f>-'Immobilie als Kapitalanlage'!$C$23-'Immobilie als Kapitalanlage'!$G$95</f>
        <v>-23655</v>
      </c>
      <c r="CG4" s="235">
        <f>CF4</f>
        <v>-23655</v>
      </c>
      <c r="CH4" s="133"/>
      <c r="CI4" s="242">
        <f ca="1">DATE(YEAR(CI5),MONTH(CI5),DAY(CI5)-1)</f>
        <v>45900</v>
      </c>
      <c r="CJ4" s="235">
        <f>-'Immobilie als Kapitalanlage'!$C$23-'Immobilie als Kapitalanlage'!$G$95</f>
        <v>-23655</v>
      </c>
      <c r="CK4" s="235">
        <f>-'Immobilie als Kapitalanlage'!$C$23-'Immobilie als Kapitalanlage'!$G$95</f>
        <v>-23655</v>
      </c>
      <c r="CL4" s="235">
        <f>-'Immobilie als Kapitalanlage'!$C$23-'Immobilie als Kapitalanlage'!$G$95</f>
        <v>-23655</v>
      </c>
      <c r="CM4" s="235">
        <f>-'Immobilie als Kapitalanlage'!$C$23-'Immobilie als Kapitalanlage'!$G$95</f>
        <v>-23655</v>
      </c>
      <c r="CN4" s="235">
        <f>-'Immobilie als Kapitalanlage'!$C$23-'Immobilie als Kapitalanlage'!$G$95</f>
        <v>-23655</v>
      </c>
      <c r="CO4" s="235"/>
      <c r="CP4" s="235"/>
      <c r="CQ4" s="235"/>
      <c r="CR4" s="235"/>
      <c r="CS4" s="235"/>
      <c r="CT4" s="235"/>
      <c r="CU4" s="235"/>
      <c r="CV4" s="235"/>
      <c r="CW4" s="235"/>
      <c r="CX4" s="235"/>
      <c r="CY4" s="235"/>
      <c r="CZ4" s="235"/>
      <c r="DA4" s="235">
        <f>-'Immobilie als Kapitalanlage'!$C$23-'Immobilie als Kapitalanlage'!$G$95</f>
        <v>-23655</v>
      </c>
      <c r="DB4" s="235">
        <f>-'Immobilie als Kapitalanlage'!$C$23-'Immobilie als Kapitalanlage'!$G$95</f>
        <v>-23655</v>
      </c>
      <c r="DC4" s="235">
        <f>-'Immobilie als Kapitalanlage'!$C$23-'Immobilie als Kapitalanlage'!$G$95</f>
        <v>-23655</v>
      </c>
      <c r="DD4" s="235">
        <f>-'Immobilie als Kapitalanlage'!$C$23-'Immobilie als Kapitalanlage'!$G$95</f>
        <v>-23655</v>
      </c>
      <c r="DE4" s="235">
        <f>-'Immobilie als Kapitalanlage'!$C$23-'Immobilie als Kapitalanlage'!$G$95</f>
        <v>-23655</v>
      </c>
      <c r="DF4" s="235"/>
      <c r="DG4" s="235"/>
      <c r="DH4" s="235"/>
      <c r="DI4" s="235"/>
      <c r="DJ4" s="235"/>
      <c r="DK4" s="235"/>
      <c r="DL4" s="235"/>
      <c r="DM4" s="235"/>
      <c r="DN4" s="235"/>
      <c r="DO4" s="235"/>
      <c r="DP4" s="235"/>
      <c r="DQ4" s="235"/>
      <c r="DR4" s="235"/>
      <c r="DS4" s="241">
        <f t="shared" ref="DS4:DS46" si="3">DA4</f>
        <v>-23655</v>
      </c>
    </row>
    <row r="5" spans="1:123" ht="15.6">
      <c r="A5" s="243">
        <v>1</v>
      </c>
      <c r="B5" s="244">
        <f>B4*(1+'Immobilie als Kapitalanlage'!$D$47)</f>
        <v>251490</v>
      </c>
      <c r="C5" s="241">
        <f>$C$4*(1+'Immobilie als Kapitalanlage'!$D$47)^A5</f>
        <v>0</v>
      </c>
      <c r="D5" s="244">
        <f t="shared" si="0"/>
        <v>251490</v>
      </c>
      <c r="E5" s="138"/>
      <c r="F5" s="245">
        <f>MAX(-FV('Immobilie als Kapitalanlage'!$D$26/12,A5*12,(-I5/12),'Immobilie als Kapitalanlage'!$C$25,0),0)</f>
        <v>245204.49802133715</v>
      </c>
      <c r="G5" s="245">
        <f>I5-H5</f>
        <v>8654.4980213371455</v>
      </c>
      <c r="H5" s="241">
        <f t="shared" ref="H5:H54" si="4">F4-F5</f>
        <v>3795.5019786628545</v>
      </c>
      <c r="I5" s="241">
        <f>$F$4*('Immobilie als Kapitalanlage'!$D$26+'Immobilie als Kapitalanlage'!$D$36)</f>
        <v>12450</v>
      </c>
      <c r="J5" s="246">
        <f t="shared" ref="J5:Q5" si="5">F5</f>
        <v>245204.49802133715</v>
      </c>
      <c r="K5" s="246">
        <f t="shared" si="5"/>
        <v>8654.4980213371455</v>
      </c>
      <c r="L5" s="246">
        <f t="shared" si="5"/>
        <v>3795.5019786628545</v>
      </c>
      <c r="M5" s="246">
        <f t="shared" si="5"/>
        <v>12450</v>
      </c>
      <c r="N5" s="247">
        <f t="shared" si="5"/>
        <v>245204.49802133715</v>
      </c>
      <c r="O5" s="247">
        <f t="shared" si="5"/>
        <v>8654.4980213371455</v>
      </c>
      <c r="P5" s="247">
        <f t="shared" si="5"/>
        <v>3795.5019786628545</v>
      </c>
      <c r="Q5" s="247">
        <f t="shared" si="5"/>
        <v>12450</v>
      </c>
      <c r="R5" s="237">
        <f t="shared" ref="R5:R54" si="6">SUM(S5:U5)</f>
        <v>-1456.8</v>
      </c>
      <c r="S5" s="237">
        <f>'Immobilie als Kapitalanlage'!$C$27*12</f>
        <v>-244.79999999999998</v>
      </c>
      <c r="T5" s="237">
        <f>'Immobilie als Kapitalanlage'!$C$29*12</f>
        <v>-852</v>
      </c>
      <c r="U5" s="237">
        <f>'Immobilie als Kapitalanlage'!$C$30*12</f>
        <v>-360</v>
      </c>
      <c r="V5" s="237">
        <f>'Immobilie als Kapitalanlage'!$C$28*12</f>
        <v>-612</v>
      </c>
      <c r="W5" s="235">
        <f>'Immobilie als Kapitalanlage'!$C$33*12</f>
        <v>10200</v>
      </c>
      <c r="X5" s="235">
        <f>'Immobilie als Kapitalanlage'!$I$43*12</f>
        <v>11627.999999999998</v>
      </c>
      <c r="Y5" s="235">
        <f>-'Immobilie als Kapitalanlage'!$C$25*'Immobilie als Kapitalanlage'!$D$99</f>
        <v>0</v>
      </c>
      <c r="Z5" s="235">
        <f t="shared" ref="Z5:Z54" si="7">Z4+Y5</f>
        <v>0</v>
      </c>
      <c r="AA5" s="235">
        <f>FV((((1+'Immobilie als Kapitalanlage'!$D$80)^(1/12)-1)),A5*12,Y5/12,-'Immobilie als Kapitalanlage'!$G$95,)</f>
        <v>0</v>
      </c>
      <c r="AB5" s="241">
        <f>'Immobilie als Kapitalanlage'!C3</f>
        <v>80000</v>
      </c>
      <c r="AC5" s="241">
        <f>IF(AND(AB5&gt;Steuern!$D$6,AB5&lt;Steuern!$D$10),INT((Steuern!$H$8*(AB5-Steuern!$D$6)/10000+Steuern!$I$8)*(AB5-Steuern!$D$6)/10000),IF(AND(AB5&gt;Steuern!$F$8,AB5&lt;Steuern!$D$12),INT((Steuern!$H$10*(AB5-Steuern!$F$8)/10000+Steuern!$I$10)*(AB5-Steuern!$F$8)/10000+Steuern!$J$10),IF(AND(AB5&gt;Steuern!$F$10,AB5&lt;Steuern!$D$14),INT(AB5*Steuern!$H$12-Steuern!$I$12),IF(AB5&gt;Steuern!$F$12,INT(AB5*Steuern!$H$14-Steuern!$I$14),0))))</f>
        <v>23627</v>
      </c>
      <c r="AD5" s="241">
        <f>IF(AND(AB5/2&gt;Steuern!$D$6,AB5/2&lt;Steuern!$D$10),INT((Steuern!$H$8*(AB5/2-Steuern!$D$8)/10000+Steuern!$I$8)*(AB5/2-Steuern!$D$6)/10000),IF(AND(AB5/2&gt;Steuern!$F$8,AB5/2&lt;Steuern!$D$12),INT((Steuern!$H$10*(AB5/2-Steuern!$F$8)/10000+Steuern!$I$10)*(AB5/2-Steuern!$F$8)/10000+Steuern!$J$10),IF(AND(AB5/2&gt;Steuern!$F$10,AB5/2&lt;Steuern!$D$14),INT(AB5/2*Steuern!$H$12-Steuern!$I$12),IF(AB5/2&gt;Steuern!$F$12,INT(AB5/2*Steuern!$H$14-Steuern!$I$14),0))))*2</f>
        <v>15656</v>
      </c>
      <c r="AE5" s="241">
        <f t="shared" ref="AE5:AE54" si="8">R5-G5+W5</f>
        <v>88.701978662855254</v>
      </c>
      <c r="AF5" s="241">
        <f t="shared" ref="AF5:AF54" si="9">R5-K5+W5</f>
        <v>88.701978662855254</v>
      </c>
      <c r="AG5" s="241">
        <f t="shared" ref="AG5:AG54" si="10">R5-O5+W5</f>
        <v>88.701978662855254</v>
      </c>
      <c r="AH5" s="241">
        <f t="shared" ref="AH5:AH54" si="11">R5-G5+X5</f>
        <v>1516.7019786628534</v>
      </c>
      <c r="AI5" s="241">
        <f t="shared" ref="AI5:AI54" si="12">R5-K5+X5</f>
        <v>1516.7019786628534</v>
      </c>
      <c r="AJ5" s="241">
        <f t="shared" ref="AJ5:AJ54" si="13">R5-O5+X5</f>
        <v>1516.7019786628534</v>
      </c>
      <c r="AK5" s="248"/>
      <c r="AL5" s="241">
        <f>('Immobilie als Kapitalanlage'!$C$16+'Immobilie als Kapitalanlage'!$C$20+'Immobilie als Kapitalanlage'!$C$15)*(1-'Immobilie als Kapitalanlage'!$D$53)</f>
        <v>190858.5</v>
      </c>
      <c r="AM5" s="241">
        <f>AL5*'Immobilie als Kapitalanlage'!$D$52</f>
        <v>3817.17</v>
      </c>
      <c r="AN5" s="241">
        <f t="shared" ref="AN5:AN54" si="14">AB5+AE5-AM5</f>
        <v>76271.531978662853</v>
      </c>
      <c r="AO5" s="241">
        <f>IF(AND(AN5&gt;Steuern!$D$6,AN5&lt;Steuern!$D$10),INT((Steuern!H8*(AN5-Steuern!$D$8)/10000+Steuern!$I$8)*(AN5-Steuern!$D$6)/10000),IF(AND(AN5&gt;Steuern!$F$8,AN5&lt;Steuern!$D$12),INT((Steuern!$H$10*(AN5-Steuern!$F$8)/10000+Steuern!$I$10)*(AN5-Steuern!$F$8)/10000+Steuern!$J$10),IF(AND(AN5&gt;Steuern!$F$10,AN5&lt;Steuern!$D$14),INT(AN5*Steuern!$H$12-Steuern!$I$12),IF(AN5&gt;Steuern!$F$12,INT(AN5*Steuern!$H$14-Steuern!$I$14),0))))</f>
        <v>22061</v>
      </c>
      <c r="AP5" s="241">
        <f>IF(AND(AN5/2&gt;Steuern!$D$6,AN5/2&lt;Steuern!$D$10),INT((Steuern!$H$8*(AN5/2-Steuern!$D$8)/10000+Steuern!$I$8)*(AN5/2-Steuern!$D$6)/10000),IF(AND(AN5/2&gt;Steuern!$F$8,AN5/2&lt;Steuern!$D$12),INT((Steuern!$H$10*(AN5/2-Steuern!$F$8)/10000+Steuern!$I$10)*(AN5/2-Steuern!$F$8)/10000+Steuern!$J$10),IF(AND(AN5/2&gt;Steuern!$F$10,AN5/2&lt;Steuern!$D$14),INT(AN5/2*Steuern!$H$12-Steuern!$I$12),IF(AN5/2&gt;Steuern!$F$12,INT(AN5/2*Steuern!$H$14-Steuern!$I$14),0))))*2</f>
        <v>14432</v>
      </c>
      <c r="AQ5" s="241">
        <f t="shared" ref="AQ5:AQ54" si="15">AB5+AF5-AM5</f>
        <v>76271.531978662853</v>
      </c>
      <c r="AR5" s="241">
        <f>IF(AND(AQ5&gt;Steuern!$D$6,AQ5&lt;Steuern!$D$10),INT((Steuern!$H$8*(AQ5-Steuern!$D$6)/10000+Steuern!$I$8)*(AQ5-Steuern!$D$6)/10000),IF(AND(AQ5&gt;Steuern!$F$8,AQ5&lt;Steuern!$D$12),INT((Steuern!$H$10*(AQ5-Steuern!$F$8)/10000+Steuern!$I$10)*(AQ5-Steuern!$F$8)/10000+Steuern!$J$10),IF(AND(AQ5&gt;Steuern!$F$10,AQ5&lt;Steuern!$D$14),INT(AQ5*Steuern!$H$12-Steuern!$I$12),IF(AQ5&gt;Steuern!$F$12,INT(AQ5*Steuern!$H$14-Steuern!$I$14),0))))</f>
        <v>22061</v>
      </c>
      <c r="AS5" s="241">
        <f t="shared" ref="AS5:AS54" si="16">AB5+AG5-AM5</f>
        <v>76271.531978662853</v>
      </c>
      <c r="AT5" s="241">
        <f>IF(AND(AS5&gt;Steuern!$D$6,AS5&lt;Steuern!$D$10),INT((Steuern!$H$8*(AS5-Steuern!$D$6)/10000+Steuern!$I$8)*(AS5-Steuern!$D$6)/10000),IF(AND(AS5&gt;Steuern!$F$8,AS5&lt;Steuern!$D$12),INT((Steuern!$H$10*(AS5-Steuern!$F$8)/10000+Steuern!$I$10)*(AS5-Steuern!$F$8)/10000+Steuern!$J$10),IF(AND(AS5&gt;Steuern!$F$10,AS5&lt;Steuern!$D$14),INT(AS5*Steuern!$H$12-Steuern!$I$12),IF(AS5&gt;Steuern!$F$12,INT(AS5*Steuern!$H$14-Steuern!$I$14),0))))</f>
        <v>22061</v>
      </c>
      <c r="AU5" s="241">
        <f t="shared" ref="AU5:AU54" si="17">AB5+AH5-AM5</f>
        <v>77699.531978662853</v>
      </c>
      <c r="AV5" s="241">
        <f>IF(AND(AU5&gt;Steuern!$D$6,AU5&lt;Steuern!$D$10),INT((Steuern!$H$8*(AU5-Steuern!$D$6)/10000+Steuern!$I$8)*(AU5-Steuern!$D$6)/10000),IF(AND(AU5&gt;Steuern!$F$8,AU5&lt;Steuern!$D$12),INT((Steuern!$H$10*(AU5-Steuern!$F$8)/10000+Steuern!$I$10)*(AU5-Steuern!$F$8)/10000+Steuern!$J$10),IF(AND(AU5&gt;Steuern!$F$10,AU5&lt;Steuern!$D$14),INT(AU5*Steuern!$H$12-Steuern!$I$12),IF(AU5&gt;Steuern!$F$12,INT(AU5*Steuern!$H$14-Steuern!$I$14),0))))</f>
        <v>22660</v>
      </c>
      <c r="AW5" s="241">
        <f>IF(AND(AU5/2&gt;Steuern!$D$6,AU5/2&lt;Steuern!$D$10),INT((Steuern!$H$8*(AU5/2-Steuern!$D$8)/10000+Steuern!$I$8)*(AU5/2-Steuern!$D$6)/10000),IF(AND(AU5/2&gt;Steuern!$F$8,AU5/2&lt;Steuern!$D$12),INT((Steuern!$H$10*(AU5/2-Steuern!$F$8)/10000+Steuern!$I$10)*(AU5/2-Steuern!$F$8)/10000+Steuern!$J$10),IF(AND(AU5/2&gt;Steuern!$F$10,AU5/2&lt;Steuern!$D$14),INT(AU5/2*Steuern!$H$12-Steuern!$I$12),IF(AU5/2&gt;Steuern!$F$12,INT(AU5/2*Steuern!$H$14-Steuern!$I$14),0))))*2</f>
        <v>14898</v>
      </c>
      <c r="AX5" s="241">
        <f t="shared" ref="AX5:AX54" si="18">AB5+AI5-AM5</f>
        <v>77699.531978662853</v>
      </c>
      <c r="AY5" s="241">
        <f>IF(AND(AX5&gt;Steuern!$D$6,AX5&lt;Steuern!$D$10),INT((Steuern!N8*(AX5-Steuern!$D$8)/10000+Steuern!$I$8)*(AX5-Steuern!$D$6)/10000),IF(AND(AX5&gt;Steuern!$F$8,AX5&lt;Steuern!$D$12),INT((Steuern!$H$10*(AX5-Steuern!$F$8)/10000+Steuern!$I$10)*(AX5-Steuern!$F$8)/10000+Steuern!$J$10),IF(AND(AX5&gt;Steuern!$F$10,AX5&lt;Steuern!$D$14),INT(AX5*Steuern!$H$12-Steuern!$I$12),IF(AX5&gt;Steuern!$F$12,INT(AX5*Steuern!$H$14-Steuern!$I$14),0))))</f>
        <v>22660</v>
      </c>
      <c r="AZ5" s="241">
        <f t="shared" ref="AZ5:AZ54" si="19">AB5+AJ5-AM5</f>
        <v>77699.531978662853</v>
      </c>
      <c r="BA5" s="241">
        <f>IF(AND(AZ5&gt;Steuern!$D$6,AZ5&lt;Steuern!$D$10),INT((Steuern!P8*(AZ5-Steuern!$D$8)/10000+Steuern!$I$8)*(AZ5-Steuern!$D$6)/10000),IF(AND(AZ5&gt;Steuern!$F$8,AZ5&lt;Steuern!$D$12),INT((Steuern!$H$10*(AZ5-Steuern!$F$8)/10000+Steuern!$I$10)*(AZ5-Steuern!$F$8)/10000+Steuern!$J$10),IF(AND(AZ5&gt;Steuern!$F$10,AZ5&lt;Steuern!$D$14),INT(AZ5*Steuern!$H$12-Steuern!$I$12),IF(AZ5&gt;Steuern!$F$12,INT(AZ5*Steuern!$H$14-Steuern!$I$14),0))))</f>
        <v>22660</v>
      </c>
      <c r="BB5" s="241">
        <f t="shared" ref="BB5:BC5" si="20">AC5-AO5</f>
        <v>1566</v>
      </c>
      <c r="BC5" s="241">
        <f t="shared" si="20"/>
        <v>1224</v>
      </c>
      <c r="BD5" s="241">
        <f t="shared" ref="BD5:BD54" si="21">AC5-AR5</f>
        <v>1566</v>
      </c>
      <c r="BE5" s="241">
        <f t="shared" ref="BE5:BE54" si="22">AC5-AT5</f>
        <v>1566</v>
      </c>
      <c r="BF5" s="241">
        <f t="shared" ref="BF5:BG5" si="23">AC5-AV5</f>
        <v>967</v>
      </c>
      <c r="BG5" s="241">
        <f t="shared" si="23"/>
        <v>758</v>
      </c>
      <c r="BH5" s="241">
        <f t="shared" ref="BH5:BH54" si="24">AC5-AY5</f>
        <v>967</v>
      </c>
      <c r="BI5" s="241">
        <f t="shared" ref="BI5:BI54" si="25">AC5-BA5</f>
        <v>967</v>
      </c>
      <c r="BJ5" s="241">
        <f t="shared" ref="BJ5:BJ54" si="26">-G5-H5+R5+V5+W5+BB5</f>
        <v>-2752.7999999999993</v>
      </c>
      <c r="BK5" s="241">
        <f t="shared" ref="BK5:BK54" si="27">-G5-H5+R5+V5+W5+BC5</f>
        <v>-3094.7999999999993</v>
      </c>
      <c r="BL5" s="241">
        <f t="shared" ref="BL5:BL54" si="28">-K5-L5+R5+V5+W5+BD5</f>
        <v>-2752.7999999999993</v>
      </c>
      <c r="BM5" s="241">
        <f t="shared" ref="BM5:BM54" si="29">-O5-P5+R5+V5+W5+BE5</f>
        <v>-2752.7999999999993</v>
      </c>
      <c r="BN5" s="241">
        <f t="shared" ref="BN5:BN54" si="30">Y5+BJ5</f>
        <v>-2752.7999999999993</v>
      </c>
      <c r="BO5" s="241">
        <f t="shared" ref="BO5:BO54" si="31">BO4+BN5</f>
        <v>-26407.8</v>
      </c>
      <c r="BP5" s="241">
        <f t="shared" ref="BP5:BP54" si="32">Y5+BK5</f>
        <v>-3094.7999999999993</v>
      </c>
      <c r="BQ5" s="241">
        <f t="shared" ref="BQ5:BQ54" si="33">BQ4+BP5</f>
        <v>-26749.8</v>
      </c>
      <c r="BR5" s="241">
        <f t="shared" ref="BR5:BR54" si="34">Y5+BL5</f>
        <v>-2752.7999999999993</v>
      </c>
      <c r="BS5" s="241">
        <f t="shared" ref="BS5:BS54" si="35">BS4+BR5</f>
        <v>-26407.8</v>
      </c>
      <c r="BT5" s="241">
        <f t="shared" ref="BT5:BT54" si="36">Y5+BM5</f>
        <v>-2752.7999999999993</v>
      </c>
      <c r="BU5" s="241">
        <f t="shared" ref="BU5:BU54" si="37">BU4+BT5</f>
        <v>-26407.8</v>
      </c>
      <c r="BV5" s="241">
        <f t="shared" ref="BV5:BV54" si="38">-G5-H5+R5+V5+X5+BF5</f>
        <v>-1923.8000000000011</v>
      </c>
      <c r="BW5" s="241">
        <f t="shared" ref="BW5:BW54" si="39">-G5-H5+R5+V5+X5+BG5</f>
        <v>-2132.8000000000011</v>
      </c>
      <c r="BX5" s="241">
        <f t="shared" ref="BX5:BX54" si="40">-K5-L5+R5+V5+X5+BH5</f>
        <v>-1923.8000000000011</v>
      </c>
      <c r="BY5" s="241">
        <f t="shared" ref="BY5:BY54" si="41">-O5-P5+R5+V5+X5+BI5</f>
        <v>-1923.8000000000011</v>
      </c>
      <c r="BZ5" s="241">
        <f t="shared" ref="BZ5:BZ54" si="42">Y5+BV5</f>
        <v>-1923.8000000000011</v>
      </c>
      <c r="CA5" s="241">
        <f t="shared" ref="CA5:CA54" si="43">CA4+BZ5</f>
        <v>-25578.800000000003</v>
      </c>
      <c r="CB5" s="241">
        <f t="shared" ref="CB5:CB54" si="44">Y5+BW5</f>
        <v>-2132.8000000000011</v>
      </c>
      <c r="CC5" s="241">
        <f t="shared" ref="CC5:CC54" si="45">CC4+CB5</f>
        <v>-25787.800000000003</v>
      </c>
      <c r="CD5" s="241">
        <f t="shared" ref="CD5:CD54" si="46">Y5+BX5</f>
        <v>-1923.8000000000011</v>
      </c>
      <c r="CE5" s="241">
        <f t="shared" ref="CE5:CE54" si="47">CE4+CD5</f>
        <v>-25578.800000000003</v>
      </c>
      <c r="CF5" s="241">
        <f t="shared" ref="CF5:CF54" si="48">Y5+BY5</f>
        <v>-1923.8000000000011</v>
      </c>
      <c r="CG5" s="241">
        <f t="shared" ref="CG5:CG54" si="49">CG4+CF5</f>
        <v>-25578.800000000003</v>
      </c>
      <c r="CI5" s="249">
        <f ca="1">DATE(YEAR(TODAY()),MONTH(TODAY()),1)</f>
        <v>45901</v>
      </c>
      <c r="CJ5" s="241">
        <f t="shared" ref="CJ5:CJ44" si="50">-G5-H5+R5+V5+W5+BB5+Y5</f>
        <v>-2752.7999999999993</v>
      </c>
      <c r="CK5" s="241">
        <f t="shared" ref="CK5:CK14" si="51">CJ5</f>
        <v>-2752.7999999999993</v>
      </c>
      <c r="CL5" s="241">
        <f t="shared" ref="CL5:CL24" si="52">CJ5</f>
        <v>-2752.7999999999993</v>
      </c>
      <c r="CM5" s="241">
        <f t="shared" ref="CM5:CM34" si="53">CJ5</f>
        <v>-2752.7999999999993</v>
      </c>
      <c r="CN5" s="241">
        <f t="shared" ref="CN5:CN44" si="54">CJ5</f>
        <v>-2752.7999999999993</v>
      </c>
      <c r="CO5" s="241"/>
      <c r="CP5" s="241"/>
      <c r="CQ5" s="241"/>
      <c r="CR5" s="241"/>
      <c r="CS5" s="241"/>
      <c r="CT5" s="241"/>
      <c r="CU5" s="241"/>
      <c r="CV5" s="241"/>
      <c r="CW5" s="241"/>
      <c r="CX5" s="241"/>
      <c r="CY5" s="241"/>
      <c r="CZ5" s="241"/>
      <c r="DA5" s="241">
        <f t="shared" ref="DA5:DA44" si="55">-G5-H5+R5+V5+X5+BF5+Y5</f>
        <v>-1923.8000000000011</v>
      </c>
      <c r="DB5" s="241">
        <f t="shared" ref="DB5:DB14" si="56">DA5</f>
        <v>-1923.8000000000011</v>
      </c>
      <c r="DC5" s="241">
        <f t="shared" ref="DC5:DC24" si="57">DA5</f>
        <v>-1923.8000000000011</v>
      </c>
      <c r="DD5" s="241">
        <f t="shared" ref="DD5:DD34" si="58">DA5</f>
        <v>-1923.8000000000011</v>
      </c>
      <c r="DE5" s="241">
        <f t="shared" ref="DE5:DE44" si="59">DA5</f>
        <v>-1923.8000000000011</v>
      </c>
      <c r="DF5" s="241"/>
      <c r="DG5" s="241"/>
      <c r="DH5" s="241"/>
      <c r="DI5" s="241"/>
      <c r="DJ5" s="241"/>
      <c r="DK5" s="241"/>
      <c r="DL5" s="241"/>
      <c r="DM5" s="241"/>
      <c r="DN5" s="241"/>
      <c r="DO5" s="241"/>
      <c r="DP5" s="241"/>
      <c r="DQ5" s="241"/>
      <c r="DR5" s="241"/>
      <c r="DS5" s="241">
        <f t="shared" si="3"/>
        <v>-1923.8000000000011</v>
      </c>
    </row>
    <row r="6" spans="1:123" ht="15.6">
      <c r="A6" s="243">
        <v>2</v>
      </c>
      <c r="B6" s="244">
        <f>B5*(1+'Immobilie als Kapitalanlage'!$D$47)</f>
        <v>254004.9</v>
      </c>
      <c r="C6" s="241">
        <f>$C$4*(1+'Immobilie als Kapitalanlage'!$D$47)^A6</f>
        <v>0</v>
      </c>
      <c r="D6" s="244">
        <f t="shared" si="0"/>
        <v>254004.9</v>
      </c>
      <c r="E6" s="138"/>
      <c r="F6" s="245">
        <f>MAX(-FV('Immobilie als Kapitalanlage'!$D$26/12,A6*12,(-I6/12),'Immobilie als Kapitalanlage'!$C$25,0),0)</f>
        <v>241274.00160239285</v>
      </c>
      <c r="G6" s="245">
        <f>IF(I6-H6&gt;G5,F5*'Immobilie als Kapitalanlage'!$D$26,I6-H6)</f>
        <v>8519.5035810557019</v>
      </c>
      <c r="H6" s="241">
        <f t="shared" si="4"/>
        <v>3930.4964189442981</v>
      </c>
      <c r="I6" s="241">
        <f>$F$4*('Immobilie als Kapitalanlage'!$D$26+'Immobilie als Kapitalanlage'!$D$36)</f>
        <v>12450</v>
      </c>
      <c r="J6" s="246">
        <f t="shared" ref="J6:M6" si="60">F6</f>
        <v>241274.00160239285</v>
      </c>
      <c r="K6" s="246">
        <f t="shared" si="60"/>
        <v>8519.5035810557019</v>
      </c>
      <c r="L6" s="246">
        <f t="shared" si="60"/>
        <v>3930.4964189442981</v>
      </c>
      <c r="M6" s="246">
        <f t="shared" si="60"/>
        <v>12450</v>
      </c>
      <c r="N6" s="247">
        <f t="shared" ref="N6:Q6" si="61">F6</f>
        <v>241274.00160239285</v>
      </c>
      <c r="O6" s="247">
        <f t="shared" si="61"/>
        <v>8519.5035810557019</v>
      </c>
      <c r="P6" s="247">
        <f t="shared" si="61"/>
        <v>3930.4964189442981</v>
      </c>
      <c r="Q6" s="247">
        <f t="shared" si="61"/>
        <v>12450</v>
      </c>
      <c r="R6" s="250">
        <f t="shared" si="6"/>
        <v>-1485.9359999999999</v>
      </c>
      <c r="S6" s="250">
        <f>'Immobilie als Kapitalanlage'!$C$27*12*(1+'Immobilie als Kapitalanlage'!$D$44)^A5</f>
        <v>-249.696</v>
      </c>
      <c r="T6" s="250">
        <f>'Immobilie als Kapitalanlage'!$C$29*12*(1+'Immobilie als Kapitalanlage'!$D$44)^A5</f>
        <v>-869.04</v>
      </c>
      <c r="U6" s="250">
        <f>'Immobilie als Kapitalanlage'!$C$30*12*(1+'Immobilie als Kapitalanlage'!$D$44)^A5</f>
        <v>-367.2</v>
      </c>
      <c r="V6" s="250">
        <f>'Immobilie als Kapitalanlage'!$C$28*12*(1+'Immobilie als Kapitalanlage'!$D$44)^A5</f>
        <v>-624.24</v>
      </c>
      <c r="W6" s="241">
        <f>$W$5*(1+'Immobilie als Kapitalanlage'!$D$43)^A5</f>
        <v>10404</v>
      </c>
      <c r="X6" s="241">
        <f>$X$5*(1+'Immobilie als Kapitalanlage'!$D$43)^A5</f>
        <v>11860.559999999998</v>
      </c>
      <c r="Y6" s="241">
        <f>-'Immobilie als Kapitalanlage'!$C$25*'Immobilie als Kapitalanlage'!$D$99</f>
        <v>0</v>
      </c>
      <c r="Z6" s="241">
        <f t="shared" si="7"/>
        <v>0</v>
      </c>
      <c r="AA6" s="241">
        <f>FV((((1+'Immobilie als Kapitalanlage'!$D$80)^(1/12)-1)),A6*12,Y6/12,-'Immobilie als Kapitalanlage'!$G$95,)</f>
        <v>0</v>
      </c>
      <c r="AB6" s="241">
        <f>$AB$5*(1+'Immobilie als Kapitalanlage'!$D$51)^A5</f>
        <v>81600</v>
      </c>
      <c r="AC6" s="241">
        <f>IF(AND(AB6&gt;Steuern!$D$6,AB6&lt;Steuern!$D$10),INT((Steuern!$H$8*(AB6-Steuern!$D$6)/10000+Steuern!$I$8)*(AB6-Steuern!$D$6)/10000),IF(AND(AB6&gt;Steuern!$F$8,AB6&lt;Steuern!$D$12),INT((Steuern!$H$10*(AB6-Steuern!$F$8)/10000+Steuern!$I$10)*(AB6-Steuern!$F$8)/10000+Steuern!$J$10),IF(AND(AB6&gt;Steuern!$F$10,AB6&lt;Steuern!$D$14),INT(AB6*Steuern!$H$12-Steuern!$I$12),IF(AB6&gt;Steuern!$F$12,INT(AB6*Steuern!$H$14-Steuern!$I$14),0))))</f>
        <v>24299</v>
      </c>
      <c r="AD6" s="241">
        <f>IF(AND(AB6/2&gt;Steuern!$D$6,AB6/2&lt;Steuern!$D$10),INT((Steuern!$H$8*(AB6/2-Steuern!$D$8)/10000+Steuern!$I$8)*(AB6/2-Steuern!$D$6)/10000),IF(AND(AB6/2&gt;Steuern!$F$8,AB6/2&lt;Steuern!$D$12),INT((Steuern!$H$10*(AB6/2-Steuern!$F$8)/10000+Steuern!$I$10)*(AB6/2-Steuern!$F$8)/10000+Steuern!$J$10),IF(AND(AB6/2&gt;Steuern!$F$10,AB6/2&lt;Steuern!$D$14),INT(AB6/2*Steuern!$H$12-Steuern!$I$12),IF(AB6/2&gt;Steuern!$F$12,INT(AB6/2*Steuern!$H$14-Steuern!$I$14),0))))*2</f>
        <v>16190</v>
      </c>
      <c r="AE6" s="241">
        <f t="shared" si="8"/>
        <v>398.56041894429836</v>
      </c>
      <c r="AF6" s="241">
        <f t="shared" si="9"/>
        <v>398.56041894429836</v>
      </c>
      <c r="AG6" s="241">
        <f t="shared" si="10"/>
        <v>398.56041894429836</v>
      </c>
      <c r="AH6" s="241">
        <f t="shared" si="11"/>
        <v>1855.120418944296</v>
      </c>
      <c r="AI6" s="241">
        <f t="shared" si="12"/>
        <v>1855.120418944296</v>
      </c>
      <c r="AJ6" s="241">
        <f t="shared" si="13"/>
        <v>1855.120418944296</v>
      </c>
      <c r="AK6" s="248"/>
      <c r="AL6" s="241">
        <f>('Immobilie als Kapitalanlage'!$C$16+'Immobilie als Kapitalanlage'!$C$20+'Immobilie als Kapitalanlage'!$C$15)*(1-'Immobilie als Kapitalanlage'!$D$53)</f>
        <v>190858.5</v>
      </c>
      <c r="AM6" s="241">
        <f>AL6*'Immobilie als Kapitalanlage'!$D$52</f>
        <v>3817.17</v>
      </c>
      <c r="AN6" s="241">
        <f t="shared" si="14"/>
        <v>78181.390418944298</v>
      </c>
      <c r="AO6" s="241">
        <f>IF(AND(AN6&gt;Steuern!$D$6,AN6&lt;Steuern!$D$10),INT((Steuern!H9*(AN6-Steuern!$D$8)/10000+Steuern!$I$8)*(AN6-Steuern!$D$6)/10000),IF(AND(AN6&gt;Steuern!$F$8,AN6&lt;Steuern!$D$12),INT((Steuern!$H$10*(AN6-Steuern!$F$8)/10000+Steuern!$I$10)*(AN6-Steuern!$F$8)/10000+Steuern!$J$10),IF(AND(AN6&gt;Steuern!$F$10,AN6&lt;Steuern!$D$14),INT(AN6*Steuern!$H$12-Steuern!$I$12),IF(AN6&gt;Steuern!$F$12,INT(AN6*Steuern!$H$14-Steuern!$I$14),0))))</f>
        <v>22863</v>
      </c>
      <c r="AP6" s="241">
        <f>IF(AND(AN6/2&gt;Steuern!$D$6,AN6/2&lt;Steuern!$D$10),INT((Steuern!$H$8*(AN6/2-Steuern!$D$8)/10000+Steuern!$I$8)*(AN6/2-Steuern!$D$6)/10000),IF(AND(AN6/2&gt;Steuern!$F$8,AN6/2&lt;Steuern!$D$12),INT((Steuern!$H$10*(AN6/2-Steuern!$F$8)/10000+Steuern!$I$10)*(AN6/2-Steuern!$F$8)/10000+Steuern!$J$10),IF(AND(AN6/2&gt;Steuern!$F$10,AN6/2&lt;Steuern!$D$14),INT(AN6/2*Steuern!$H$12-Steuern!$I$12),IF(AN6/2&gt;Steuern!$F$12,INT(AN6/2*Steuern!$H$14-Steuern!$I$14),0))))*2</f>
        <v>15056</v>
      </c>
      <c r="AQ6" s="241">
        <f t="shared" si="15"/>
        <v>78181.390418944298</v>
      </c>
      <c r="AR6" s="241">
        <f>IF(AND(AQ6&gt;Steuern!$D$6,AQ6&lt;Steuern!$D$10),INT((Steuern!$H$8*(AQ6-Steuern!$D$6)/10000+Steuern!$I$8)*(AQ6-Steuern!$D$6)/10000),IF(AND(AQ6&gt;Steuern!$F$8,AQ6&lt;Steuern!$D$12),INT((Steuern!$H$10*(AQ6-Steuern!$F$8)/10000+Steuern!$I$10)*(AQ6-Steuern!$F$8)/10000+Steuern!$J$10),IF(AND(AQ6&gt;Steuern!$F$10,AQ6&lt;Steuern!$D$14),INT(AQ6*Steuern!$H$12-Steuern!$I$12),IF(AQ6&gt;Steuern!$F$12,INT(AQ6*Steuern!$H$14-Steuern!$I$14),0))))</f>
        <v>22863</v>
      </c>
      <c r="AS6" s="241">
        <f t="shared" si="16"/>
        <v>78181.390418944298</v>
      </c>
      <c r="AT6" s="241">
        <f>IF(AND(AS6&gt;Steuern!$D$6,AS6&lt;Steuern!$D$10),INT((Steuern!$H$8*(AS6-Steuern!$D$6)/10000+Steuern!$I$8)*(AS6-Steuern!$D$6)/10000),IF(AND(AS6&gt;Steuern!$F$8,AS6&lt;Steuern!$D$12),INT((Steuern!$H$10*(AS6-Steuern!$F$8)/10000+Steuern!$I$10)*(AS6-Steuern!$F$8)/10000+Steuern!$J$10),IF(AND(AS6&gt;Steuern!$F$10,AS6&lt;Steuern!$D$14),INT(AS6*Steuern!$H$12-Steuern!$I$12),IF(AS6&gt;Steuern!$F$12,INT(AS6*Steuern!$H$14-Steuern!$I$14),0))))</f>
        <v>22863</v>
      </c>
      <c r="AU6" s="241">
        <f t="shared" si="17"/>
        <v>79637.950418944296</v>
      </c>
      <c r="AV6" s="241">
        <f>IF(AND(AU6&gt;Steuern!$D$6,AU6&lt;Steuern!$D$10),INT((Steuern!$H$8*(AU6-Steuern!$D$6)/10000+Steuern!$I$8)*(AU6-Steuern!$D$6)/10000),IF(AND(AU6&gt;Steuern!$F$8,AU6&lt;Steuern!$D$12),INT((Steuern!$H$10*(AU6-Steuern!$F$8)/10000+Steuern!$I$10)*(AU6-Steuern!$F$8)/10000+Steuern!$J$10),IF(AND(AU6&gt;Steuern!$F$10,AU6&lt;Steuern!$D$14),INT(AU6*Steuern!$H$12-Steuern!$I$12),IF(AU6&gt;Steuern!$F$12,INT(AU6*Steuern!$H$14-Steuern!$I$14),0))))</f>
        <v>23474</v>
      </c>
      <c r="AW6" s="241">
        <f>IF(AND(AU6/2&gt;Steuern!$D$6,AU6/2&lt;Steuern!$D$10),INT((Steuern!$H$8*(AU6/2-Steuern!$D$8)/10000+Steuern!$I$8)*(AU6/2-Steuern!$D$6)/10000),IF(AND(AU6/2&gt;Steuern!$F$8,AU6/2&lt;Steuern!$D$12),INT((Steuern!$H$10*(AU6/2-Steuern!$F$8)/10000+Steuern!$I$10)*(AU6/2-Steuern!$F$8)/10000+Steuern!$J$10),IF(AND(AU6/2&gt;Steuern!$F$10,AU6/2&lt;Steuern!$D$14),INT(AU6/2*Steuern!$H$12-Steuern!$I$12),IF(AU6/2&gt;Steuern!$F$12,INT(AU6/2*Steuern!$H$14-Steuern!$I$14),0))))*2</f>
        <v>15536</v>
      </c>
      <c r="AX6" s="241">
        <f t="shared" si="18"/>
        <v>79637.950418944296</v>
      </c>
      <c r="AY6" s="241">
        <f>IF(AND(AX6&gt;Steuern!$D$6,AX6&lt;Steuern!$D$10),INT((Steuern!N9*(AX6-Steuern!$D$8)/10000+Steuern!$I$8)*(AX6-Steuern!$D$6)/10000),IF(AND(AX6&gt;Steuern!$F$8,AX6&lt;Steuern!$D$12),INT((Steuern!$H$10*(AX6-Steuern!$F$8)/10000+Steuern!$I$10)*(AX6-Steuern!$F$8)/10000+Steuern!$J$10),IF(AND(AX6&gt;Steuern!$F$10,AX6&lt;Steuern!$D$14),INT(AX6*Steuern!$H$12-Steuern!$I$12),IF(AX6&gt;Steuern!$F$12,INT(AX6*Steuern!$H$14-Steuern!$I$14),0))))</f>
        <v>23474</v>
      </c>
      <c r="AZ6" s="241">
        <f t="shared" si="19"/>
        <v>79637.950418944296</v>
      </c>
      <c r="BA6" s="241">
        <f>IF(AND(AZ6&gt;Steuern!$D$6,AZ6&lt;Steuern!$D$10),INT((Steuern!P9*(AZ6-Steuern!$D$8)/10000+Steuern!$I$8)*(AZ6-Steuern!$D$6)/10000),IF(AND(AZ6&gt;Steuern!$F$8,AZ6&lt;Steuern!$D$12),INT((Steuern!$H$10*(AZ6-Steuern!$F$8)/10000+Steuern!$I$10)*(AZ6-Steuern!$F$8)/10000+Steuern!$J$10),IF(AND(AZ6&gt;Steuern!$F$10,AZ6&lt;Steuern!$D$14),INT(AZ6*Steuern!$H$12-Steuern!$I$12),IF(AZ6&gt;Steuern!$F$12,INT(AZ6*Steuern!$H$14-Steuern!$I$14),0))))</f>
        <v>23474</v>
      </c>
      <c r="BB6" s="241">
        <f t="shared" ref="BB6:BC6" si="62">AC6-AO6</f>
        <v>1436</v>
      </c>
      <c r="BC6" s="241">
        <f t="shared" si="62"/>
        <v>1134</v>
      </c>
      <c r="BD6" s="241">
        <f t="shared" si="21"/>
        <v>1436</v>
      </c>
      <c r="BE6" s="241">
        <f t="shared" si="22"/>
        <v>1436</v>
      </c>
      <c r="BF6" s="241">
        <f t="shared" ref="BF6:BG6" si="63">AC6-AV6</f>
        <v>825</v>
      </c>
      <c r="BG6" s="241">
        <f t="shared" si="63"/>
        <v>654</v>
      </c>
      <c r="BH6" s="241">
        <f t="shared" si="24"/>
        <v>825</v>
      </c>
      <c r="BI6" s="241">
        <f t="shared" si="25"/>
        <v>825</v>
      </c>
      <c r="BJ6" s="241">
        <f t="shared" si="26"/>
        <v>-2720.1759999999995</v>
      </c>
      <c r="BK6" s="241">
        <f t="shared" si="27"/>
        <v>-3022.1759999999995</v>
      </c>
      <c r="BL6" s="241">
        <f t="shared" si="28"/>
        <v>-2720.1759999999995</v>
      </c>
      <c r="BM6" s="241">
        <f t="shared" si="29"/>
        <v>-2720.1759999999995</v>
      </c>
      <c r="BN6" s="241">
        <f t="shared" si="30"/>
        <v>-2720.1759999999995</v>
      </c>
      <c r="BO6" s="241">
        <f t="shared" si="31"/>
        <v>-29127.975999999999</v>
      </c>
      <c r="BP6" s="241">
        <f t="shared" si="32"/>
        <v>-3022.1759999999995</v>
      </c>
      <c r="BQ6" s="241">
        <f t="shared" si="33"/>
        <v>-29771.975999999999</v>
      </c>
      <c r="BR6" s="241">
        <f t="shared" si="34"/>
        <v>-2720.1759999999995</v>
      </c>
      <c r="BS6" s="241">
        <f t="shared" si="35"/>
        <v>-29127.975999999999</v>
      </c>
      <c r="BT6" s="241">
        <f t="shared" si="36"/>
        <v>-2720.1759999999995</v>
      </c>
      <c r="BU6" s="241">
        <f t="shared" si="37"/>
        <v>-29127.975999999999</v>
      </c>
      <c r="BV6" s="241">
        <f t="shared" si="38"/>
        <v>-1874.6160000000018</v>
      </c>
      <c r="BW6" s="241">
        <f t="shared" si="39"/>
        <v>-2045.6160000000018</v>
      </c>
      <c r="BX6" s="241">
        <f t="shared" si="40"/>
        <v>-1874.6160000000018</v>
      </c>
      <c r="BY6" s="241">
        <f t="shared" si="41"/>
        <v>-1874.6160000000018</v>
      </c>
      <c r="BZ6" s="241">
        <f t="shared" si="42"/>
        <v>-1874.6160000000018</v>
      </c>
      <c r="CA6" s="241">
        <f t="shared" si="43"/>
        <v>-27453.416000000005</v>
      </c>
      <c r="CB6" s="241">
        <f t="shared" si="44"/>
        <v>-2045.6160000000018</v>
      </c>
      <c r="CC6" s="241">
        <f t="shared" si="45"/>
        <v>-27833.416000000005</v>
      </c>
      <c r="CD6" s="241">
        <f t="shared" si="46"/>
        <v>-1874.6160000000018</v>
      </c>
      <c r="CE6" s="241">
        <f t="shared" si="47"/>
        <v>-27453.416000000005</v>
      </c>
      <c r="CF6" s="241">
        <f t="shared" si="48"/>
        <v>-1874.6160000000018</v>
      </c>
      <c r="CG6" s="241">
        <f t="shared" si="49"/>
        <v>-27453.416000000005</v>
      </c>
      <c r="CI6" s="249">
        <f t="shared" ref="CI6:CI45" ca="1" si="64">DATE(YEAR(CI5)+1,MONTH(CI5),DAY(CI5))</f>
        <v>46266</v>
      </c>
      <c r="CJ6" s="241">
        <f t="shared" si="50"/>
        <v>-2720.1759999999995</v>
      </c>
      <c r="CK6" s="241">
        <f t="shared" si="51"/>
        <v>-2720.1759999999995</v>
      </c>
      <c r="CL6" s="241">
        <f t="shared" si="52"/>
        <v>-2720.1759999999995</v>
      </c>
      <c r="CM6" s="241">
        <f t="shared" si="53"/>
        <v>-2720.1759999999995</v>
      </c>
      <c r="CN6" s="241">
        <f t="shared" si="54"/>
        <v>-2720.1759999999995</v>
      </c>
      <c r="CO6" s="241"/>
      <c r="CP6" s="241"/>
      <c r="CQ6" s="241"/>
      <c r="CR6" s="241"/>
      <c r="CS6" s="241"/>
      <c r="CT6" s="241"/>
      <c r="CU6" s="241"/>
      <c r="CV6" s="241"/>
      <c r="CW6" s="241"/>
      <c r="CX6" s="241"/>
      <c r="CY6" s="241"/>
      <c r="CZ6" s="241"/>
      <c r="DA6" s="241">
        <f t="shared" si="55"/>
        <v>-1874.6160000000018</v>
      </c>
      <c r="DB6" s="241">
        <f t="shared" si="56"/>
        <v>-1874.6160000000018</v>
      </c>
      <c r="DC6" s="241">
        <f t="shared" si="57"/>
        <v>-1874.6160000000018</v>
      </c>
      <c r="DD6" s="241">
        <f t="shared" si="58"/>
        <v>-1874.6160000000018</v>
      </c>
      <c r="DE6" s="241">
        <f t="shared" si="59"/>
        <v>-1874.6160000000018</v>
      </c>
      <c r="DF6" s="241"/>
      <c r="DG6" s="241"/>
      <c r="DH6" s="241"/>
      <c r="DI6" s="241"/>
      <c r="DJ6" s="241"/>
      <c r="DK6" s="241"/>
      <c r="DL6" s="241"/>
      <c r="DM6" s="241"/>
      <c r="DN6" s="241"/>
      <c r="DO6" s="241"/>
      <c r="DP6" s="241"/>
      <c r="DQ6" s="241"/>
      <c r="DR6" s="241"/>
      <c r="DS6" s="241">
        <f t="shared" si="3"/>
        <v>-1874.6160000000018</v>
      </c>
    </row>
    <row r="7" spans="1:123" ht="15.6">
      <c r="A7" s="243">
        <v>3</v>
      </c>
      <c r="B7" s="244">
        <f>B6*(1+'Immobilie als Kapitalanlage'!$D$47)*((1-'Immobilie als Kapitalanlage'!$D$48))</f>
        <v>256544.94899999999</v>
      </c>
      <c r="C7" s="241">
        <f>$C$4*(1+'Immobilie als Kapitalanlage'!$D$47)^A7</f>
        <v>0</v>
      </c>
      <c r="D7" s="244">
        <f>(B7+C7)</f>
        <v>256544.94899999999</v>
      </c>
      <c r="E7" s="138"/>
      <c r="F7" s="245">
        <f>MAX(-FV('Immobilie als Kapitalanlage'!$D$26/12,A7*12,(-I7/12),'Immobilie als Kapitalanlage'!$C$25,0),0)</f>
        <v>237203.70940226168</v>
      </c>
      <c r="G7" s="245">
        <f>IF(I7-H7&gt;G6,F6*'Immobilie als Kapitalanlage'!$D$26,I7-H7)</f>
        <v>8379.7077998688328</v>
      </c>
      <c r="H7" s="241">
        <f t="shared" si="4"/>
        <v>4070.2922001311672</v>
      </c>
      <c r="I7" s="241">
        <f>$F$4*('Immobilie als Kapitalanlage'!$D$26+'Immobilie als Kapitalanlage'!$D$36)</f>
        <v>12450</v>
      </c>
      <c r="J7" s="246">
        <f t="shared" ref="J7:M7" si="65">F7</f>
        <v>237203.70940226168</v>
      </c>
      <c r="K7" s="246">
        <f t="shared" si="65"/>
        <v>8379.7077998688328</v>
      </c>
      <c r="L7" s="246">
        <f t="shared" si="65"/>
        <v>4070.2922001311672</v>
      </c>
      <c r="M7" s="246">
        <f t="shared" si="65"/>
        <v>12450</v>
      </c>
      <c r="N7" s="246">
        <f t="shared" ref="N7:Q7" si="66">F7</f>
        <v>237203.70940226168</v>
      </c>
      <c r="O7" s="246">
        <f t="shared" si="66"/>
        <v>8379.7077998688328</v>
      </c>
      <c r="P7" s="246">
        <f t="shared" si="66"/>
        <v>4070.2922001311672</v>
      </c>
      <c r="Q7" s="246">
        <f t="shared" si="66"/>
        <v>12450</v>
      </c>
      <c r="R7" s="250">
        <f t="shared" si="6"/>
        <v>-1515.65472</v>
      </c>
      <c r="S7" s="250">
        <f>'Immobilie als Kapitalanlage'!$C$27*12*(1+'Immobilie als Kapitalanlage'!$D$44)^A6</f>
        <v>-254.68991999999997</v>
      </c>
      <c r="T7" s="250">
        <f>'Immobilie als Kapitalanlage'!$C$29*12*(1+'Immobilie als Kapitalanlage'!$D$44)^A6</f>
        <v>-886.42079999999999</v>
      </c>
      <c r="U7" s="250">
        <f>'Immobilie als Kapitalanlage'!$C$30*12*(1+'Immobilie als Kapitalanlage'!$D$44)^A6</f>
        <v>-374.54399999999998</v>
      </c>
      <c r="V7" s="250">
        <f>'Immobilie als Kapitalanlage'!$C$28*12*(1+'Immobilie als Kapitalanlage'!$D$44)^A6</f>
        <v>-636.72479999999996</v>
      </c>
      <c r="W7" s="241">
        <f>$W$5*(1+'Immobilie als Kapitalanlage'!$D$43)^A6</f>
        <v>10612.08</v>
      </c>
      <c r="X7" s="241">
        <f>$X$5*(1+'Immobilie als Kapitalanlage'!$D$43)^A6</f>
        <v>12097.771199999997</v>
      </c>
      <c r="Y7" s="241">
        <f>-'Immobilie als Kapitalanlage'!$C$25*'Immobilie als Kapitalanlage'!$D$99</f>
        <v>0</v>
      </c>
      <c r="Z7" s="241">
        <f t="shared" si="7"/>
        <v>0</v>
      </c>
      <c r="AA7" s="241">
        <f>FV((((1+'Immobilie als Kapitalanlage'!$D$80)^(1/12)-1)),A7*12,Y7/12,-'Immobilie als Kapitalanlage'!$G$95,)</f>
        <v>0</v>
      </c>
      <c r="AB7" s="241">
        <f>$AB$5*(1+'Immobilie als Kapitalanlage'!$D$51)^A6</f>
        <v>83232</v>
      </c>
      <c r="AC7" s="241">
        <f>IF(AND(AB7&gt;Steuern!$D$6,AB7&lt;Steuern!$D$10),INT((Steuern!$H$8*(AB7-Steuern!$D$6)/10000+Steuern!$I$8)*(AB7-Steuern!$D$6)/10000),IF(AND(AB7&gt;Steuern!$F$8,AB7&lt;Steuern!$D$12),INT((Steuern!$H$10*(AB7-Steuern!$F$8)/10000+Steuern!$I$10)*(AB7-Steuern!$F$8)/10000+Steuern!$J$10),IF(AND(AB7&gt;Steuern!$F$10,AB7&lt;Steuern!$D$14),INT(AB7*Steuern!$H$12-Steuern!$I$12),IF(AB7&gt;Steuern!$F$12,INT(AB7*Steuern!$H$14-Steuern!$I$14),0))))</f>
        <v>24984</v>
      </c>
      <c r="AD7" s="241">
        <f>IF(AND(AB7/2&gt;Steuern!$D$6,AB7/2&lt;Steuern!$D$10),INT((Steuern!$H$8*(AB7/2-Steuern!$D$8)/10000+Steuern!$I$8)*(AB7/2-Steuern!$D$6)/10000),IF(AND(AB7/2&gt;Steuern!$F$8,AB7/2&lt;Steuern!$D$12),INT((Steuern!$H$10*(AB7/2-Steuern!$F$8)/10000+Steuern!$I$10)*(AB7/2-Steuern!$F$8)/10000+Steuern!$J$10),IF(AND(AB7/2&gt;Steuern!$F$10,AB7/2&lt;Steuern!$D$14),INT(AB7/2*Steuern!$H$12-Steuern!$I$12),IF(AB7/2&gt;Steuern!$F$12,INT(AB7/2*Steuern!$H$14-Steuern!$I$14),0))))*2</f>
        <v>16740</v>
      </c>
      <c r="AE7" s="241">
        <f t="shared" si="8"/>
        <v>716.71748013116667</v>
      </c>
      <c r="AF7" s="241">
        <f t="shared" si="9"/>
        <v>716.71748013116667</v>
      </c>
      <c r="AG7" s="241">
        <f t="shared" si="10"/>
        <v>716.71748013116667</v>
      </c>
      <c r="AH7" s="241">
        <f t="shared" si="11"/>
        <v>2202.4086801311641</v>
      </c>
      <c r="AI7" s="241">
        <f t="shared" si="12"/>
        <v>2202.4086801311641</v>
      </c>
      <c r="AJ7" s="241">
        <f t="shared" si="13"/>
        <v>2202.4086801311641</v>
      </c>
      <c r="AK7" s="248"/>
      <c r="AL7" s="241">
        <f>('Immobilie als Kapitalanlage'!$C$16+'Immobilie als Kapitalanlage'!$C$20+'Immobilie als Kapitalanlage'!$C$15)*(1-'Immobilie als Kapitalanlage'!$D$53)</f>
        <v>190858.5</v>
      </c>
      <c r="AM7" s="241">
        <f>AL7*'Immobilie als Kapitalanlage'!$D$52</f>
        <v>3817.17</v>
      </c>
      <c r="AN7" s="241">
        <f t="shared" si="14"/>
        <v>80131.547480131165</v>
      </c>
      <c r="AO7" s="241">
        <f>IF(AND(AN7&gt;Steuern!$D$6,AN7&lt;Steuern!$D$10),INT((Steuern!H10*(AN7-Steuern!$D$8)/10000+Steuern!$I$8)*(AN7-Steuern!$D$6)/10000),IF(AND(AN7&gt;Steuern!$F$8,AN7&lt;Steuern!$D$12),INT((Steuern!$H$10*(AN7-Steuern!$F$8)/10000+Steuern!$I$10)*(AN7-Steuern!$F$8)/10000+Steuern!$J$10),IF(AND(AN7&gt;Steuern!$F$10,AN7&lt;Steuern!$D$14),INT(AN7*Steuern!$H$12-Steuern!$I$12),IF(AN7&gt;Steuern!$F$12,INT(AN7*Steuern!$H$14-Steuern!$I$14),0))))</f>
        <v>23682</v>
      </c>
      <c r="AP7" s="241">
        <f>IF(AND(AN7/2&gt;Steuern!$D$6,AN7/2&lt;Steuern!$D$10),INT((Steuern!$H$8*(AN7/2-Steuern!$D$8)/10000+Steuern!$I$8)*(AN7/2-Steuern!$D$6)/10000),IF(AND(AN7/2&gt;Steuern!$F$8,AN7/2&lt;Steuern!$D$12),INT((Steuern!$H$10*(AN7/2-Steuern!$F$8)/10000+Steuern!$I$10)*(AN7/2-Steuern!$F$8)/10000+Steuern!$J$10),IF(AND(AN7/2&gt;Steuern!$F$10,AN7/2&lt;Steuern!$D$14),INT(AN7/2*Steuern!$H$12-Steuern!$I$12),IF(AN7/2&gt;Steuern!$F$12,INT(AN7/2*Steuern!$H$14-Steuern!$I$14),0))))*2</f>
        <v>15700</v>
      </c>
      <c r="AQ7" s="241">
        <f t="shared" si="15"/>
        <v>80131.547480131165</v>
      </c>
      <c r="AR7" s="241">
        <f>IF(AND(AQ7&gt;Steuern!$D$6,AQ7&lt;Steuern!$D$10),INT((Steuern!$H$8*(AQ7-Steuern!$D$6)/10000+Steuern!$I$8)*(AQ7-Steuern!$D$6)/10000),IF(AND(AQ7&gt;Steuern!$F$8,AQ7&lt;Steuern!$D$12),INT((Steuern!$H$10*(AQ7-Steuern!$F$8)/10000+Steuern!$I$10)*(AQ7-Steuern!$F$8)/10000+Steuern!$J$10),IF(AND(AQ7&gt;Steuern!$F$10,AQ7&lt;Steuern!$D$14),INT(AQ7*Steuern!$H$12-Steuern!$I$12),IF(AQ7&gt;Steuern!$F$12,INT(AQ7*Steuern!$H$14-Steuern!$I$14),0))))</f>
        <v>23682</v>
      </c>
      <c r="AS7" s="241">
        <f t="shared" si="16"/>
        <v>80131.547480131165</v>
      </c>
      <c r="AT7" s="241">
        <f>IF(AND(AS7&gt;Steuern!$D$6,AS7&lt;Steuern!$D$10),INT((Steuern!$H$8*(AS7-Steuern!$D$6)/10000+Steuern!$I$8)*(AS7-Steuern!$D$6)/10000),IF(AND(AS7&gt;Steuern!$F$8,AS7&lt;Steuern!$D$12),INT((Steuern!$H$10*(AS7-Steuern!$F$8)/10000+Steuern!$I$10)*(AS7-Steuern!$F$8)/10000+Steuern!$J$10),IF(AND(AS7&gt;Steuern!$F$10,AS7&lt;Steuern!$D$14),INT(AS7*Steuern!$H$12-Steuern!$I$12),IF(AS7&gt;Steuern!$F$12,INT(AS7*Steuern!$H$14-Steuern!$I$14),0))))</f>
        <v>23682</v>
      </c>
      <c r="AU7" s="241">
        <f t="shared" si="17"/>
        <v>81617.238680131166</v>
      </c>
      <c r="AV7" s="241">
        <f>IF(AND(AU7&gt;Steuern!$D$6,AU7&lt;Steuern!$D$10),INT((Steuern!$H$8*(AU7-Steuern!$D$6)/10000+Steuern!$I$8)*(AU7-Steuern!$D$6)/10000),IF(AND(AU7&gt;Steuern!$F$8,AU7&lt;Steuern!$D$12),INT((Steuern!$H$10*(AU7-Steuern!$F$8)/10000+Steuern!$I$10)*(AU7-Steuern!$F$8)/10000+Steuern!$J$10),IF(AND(AU7&gt;Steuern!$F$10,AU7&lt;Steuern!$D$14),INT(AU7*Steuern!$H$12-Steuern!$I$12),IF(AU7&gt;Steuern!$F$12,INT(AU7*Steuern!$H$14-Steuern!$I$14),0))))</f>
        <v>24306</v>
      </c>
      <c r="AW7" s="241">
        <f>IF(AND(AU7/2&gt;Steuern!$D$6,AU7/2&lt;Steuern!$D$10),INT((Steuern!$H$8*(AU7/2-Steuern!$D$8)/10000+Steuern!$I$8)*(AU7/2-Steuern!$D$6)/10000),IF(AND(AU7/2&gt;Steuern!$F$8,AU7/2&lt;Steuern!$D$12),INT((Steuern!$H$10*(AU7/2-Steuern!$F$8)/10000+Steuern!$I$10)*(AU7/2-Steuern!$F$8)/10000+Steuern!$J$10),IF(AND(AU7/2&gt;Steuern!$F$10,AU7/2&lt;Steuern!$D$14),INT(AU7/2*Steuern!$H$12-Steuern!$I$12),IF(AU7/2&gt;Steuern!$F$12,INT(AU7/2*Steuern!$H$14-Steuern!$I$14),0))))*2</f>
        <v>16196</v>
      </c>
      <c r="AX7" s="241">
        <f t="shared" si="18"/>
        <v>81617.238680131166</v>
      </c>
      <c r="AY7" s="241">
        <f>IF(AND(AX7&gt;Steuern!$D$6,AX7&lt;Steuern!$D$10),INT((Steuern!N10*(AX7-Steuern!$D$8)/10000+Steuern!$I$8)*(AX7-Steuern!$D$6)/10000),IF(AND(AX7&gt;Steuern!$F$8,AX7&lt;Steuern!$D$12),INT((Steuern!$H$10*(AX7-Steuern!$F$8)/10000+Steuern!$I$10)*(AX7-Steuern!$F$8)/10000+Steuern!$J$10),IF(AND(AX7&gt;Steuern!$F$10,AX7&lt;Steuern!$D$14),INT(AX7*Steuern!$H$12-Steuern!$I$12),IF(AX7&gt;Steuern!$F$12,INT(AX7*Steuern!$H$14-Steuern!$I$14),0))))</f>
        <v>24306</v>
      </c>
      <c r="AZ7" s="241">
        <f t="shared" si="19"/>
        <v>81617.238680131166</v>
      </c>
      <c r="BA7" s="241">
        <f>IF(AND(AZ7&gt;Steuern!$D$6,AZ7&lt;Steuern!$D$10),INT((Steuern!P10*(AZ7-Steuern!$D$8)/10000+Steuern!$I$8)*(AZ7-Steuern!$D$6)/10000),IF(AND(AZ7&gt;Steuern!$F$8,AZ7&lt;Steuern!$D$12),INT((Steuern!$H$10*(AZ7-Steuern!$F$8)/10000+Steuern!$I$10)*(AZ7-Steuern!$F$8)/10000+Steuern!$J$10),IF(AND(AZ7&gt;Steuern!$F$10,AZ7&lt;Steuern!$D$14),INT(AZ7*Steuern!$H$12-Steuern!$I$12),IF(AZ7&gt;Steuern!$F$12,INT(AZ7*Steuern!$H$14-Steuern!$I$14),0))))</f>
        <v>24306</v>
      </c>
      <c r="BB7" s="241">
        <f t="shared" ref="BB7:BC7" si="67">AC7-AO7</f>
        <v>1302</v>
      </c>
      <c r="BC7" s="241">
        <f t="shared" si="67"/>
        <v>1040</v>
      </c>
      <c r="BD7" s="241">
        <f t="shared" si="21"/>
        <v>1302</v>
      </c>
      <c r="BE7" s="241">
        <f t="shared" si="22"/>
        <v>1302</v>
      </c>
      <c r="BF7" s="241">
        <f t="shared" ref="BF7:BG7" si="68">AC7-AV7</f>
        <v>678</v>
      </c>
      <c r="BG7" s="241">
        <f t="shared" si="68"/>
        <v>544</v>
      </c>
      <c r="BH7" s="241">
        <f t="shared" si="24"/>
        <v>678</v>
      </c>
      <c r="BI7" s="241">
        <f t="shared" si="25"/>
        <v>678</v>
      </c>
      <c r="BJ7" s="241">
        <f t="shared" si="26"/>
        <v>-2688.2995200000005</v>
      </c>
      <c r="BK7" s="241">
        <f t="shared" si="27"/>
        <v>-2950.2995200000005</v>
      </c>
      <c r="BL7" s="241">
        <f t="shared" si="28"/>
        <v>-2688.2995200000005</v>
      </c>
      <c r="BM7" s="241">
        <f t="shared" si="29"/>
        <v>-2688.2995200000005</v>
      </c>
      <c r="BN7" s="241">
        <f t="shared" si="30"/>
        <v>-2688.2995200000005</v>
      </c>
      <c r="BO7" s="241">
        <f t="shared" si="31"/>
        <v>-31816.275519999999</v>
      </c>
      <c r="BP7" s="241">
        <f t="shared" si="32"/>
        <v>-2950.2995200000005</v>
      </c>
      <c r="BQ7" s="241">
        <f t="shared" si="33"/>
        <v>-32722.275519999999</v>
      </c>
      <c r="BR7" s="241">
        <f t="shared" si="34"/>
        <v>-2688.2995200000005</v>
      </c>
      <c r="BS7" s="241">
        <f t="shared" si="35"/>
        <v>-31816.275519999999</v>
      </c>
      <c r="BT7" s="241">
        <f t="shared" si="36"/>
        <v>-2688.2995200000005</v>
      </c>
      <c r="BU7" s="241">
        <f t="shared" si="37"/>
        <v>-31816.275519999999</v>
      </c>
      <c r="BV7" s="241">
        <f t="shared" si="38"/>
        <v>-1826.608320000003</v>
      </c>
      <c r="BW7" s="241">
        <f t="shared" si="39"/>
        <v>-1960.608320000003</v>
      </c>
      <c r="BX7" s="241">
        <f t="shared" si="40"/>
        <v>-1826.608320000003</v>
      </c>
      <c r="BY7" s="241">
        <f t="shared" si="41"/>
        <v>-1826.608320000003</v>
      </c>
      <c r="BZ7" s="241">
        <f t="shared" si="42"/>
        <v>-1826.608320000003</v>
      </c>
      <c r="CA7" s="241">
        <f t="shared" si="43"/>
        <v>-29280.024320000008</v>
      </c>
      <c r="CB7" s="241">
        <f t="shared" si="44"/>
        <v>-1960.608320000003</v>
      </c>
      <c r="CC7" s="241">
        <f t="shared" si="45"/>
        <v>-29794.024320000008</v>
      </c>
      <c r="CD7" s="241">
        <f t="shared" si="46"/>
        <v>-1826.608320000003</v>
      </c>
      <c r="CE7" s="241">
        <f t="shared" si="47"/>
        <v>-29280.024320000008</v>
      </c>
      <c r="CF7" s="241">
        <f t="shared" si="48"/>
        <v>-1826.608320000003</v>
      </c>
      <c r="CG7" s="241">
        <f t="shared" si="49"/>
        <v>-29280.024320000008</v>
      </c>
      <c r="CI7" s="249">
        <f t="shared" ca="1" si="64"/>
        <v>46631</v>
      </c>
      <c r="CJ7" s="241">
        <f t="shared" si="50"/>
        <v>-2688.2995200000005</v>
      </c>
      <c r="CK7" s="241">
        <f t="shared" si="51"/>
        <v>-2688.2995200000005</v>
      </c>
      <c r="CL7" s="241">
        <f t="shared" si="52"/>
        <v>-2688.2995200000005</v>
      </c>
      <c r="CM7" s="241">
        <f t="shared" si="53"/>
        <v>-2688.2995200000005</v>
      </c>
      <c r="CN7" s="241">
        <f t="shared" si="54"/>
        <v>-2688.2995200000005</v>
      </c>
      <c r="CO7" s="241"/>
      <c r="CP7" s="241"/>
      <c r="CQ7" s="241"/>
      <c r="CR7" s="241"/>
      <c r="CS7" s="241"/>
      <c r="CT7" s="241"/>
      <c r="CU7" s="241"/>
      <c r="CV7" s="241"/>
      <c r="CW7" s="241"/>
      <c r="CX7" s="241"/>
      <c r="CY7" s="241"/>
      <c r="CZ7" s="241"/>
      <c r="DA7" s="241">
        <f t="shared" si="55"/>
        <v>-1826.608320000003</v>
      </c>
      <c r="DB7" s="241">
        <f t="shared" si="56"/>
        <v>-1826.608320000003</v>
      </c>
      <c r="DC7" s="241">
        <f t="shared" si="57"/>
        <v>-1826.608320000003</v>
      </c>
      <c r="DD7" s="241">
        <f t="shared" si="58"/>
        <v>-1826.608320000003</v>
      </c>
      <c r="DE7" s="241">
        <f t="shared" si="59"/>
        <v>-1826.608320000003</v>
      </c>
      <c r="DF7" s="241"/>
      <c r="DG7" s="241"/>
      <c r="DH7" s="241"/>
      <c r="DI7" s="241"/>
      <c r="DJ7" s="241"/>
      <c r="DK7" s="241"/>
      <c r="DL7" s="241"/>
      <c r="DM7" s="241"/>
      <c r="DN7" s="241"/>
      <c r="DO7" s="241"/>
      <c r="DP7" s="241"/>
      <c r="DQ7" s="241"/>
      <c r="DR7" s="241"/>
      <c r="DS7" s="241">
        <f t="shared" si="3"/>
        <v>-1826.608320000003</v>
      </c>
    </row>
    <row r="8" spans="1:123" ht="15.6">
      <c r="A8" s="243">
        <v>4</v>
      </c>
      <c r="B8" s="244">
        <f>B7*(1+'Immobilie als Kapitalanlage'!$D$47)</f>
        <v>259110.39848999999</v>
      </c>
      <c r="C8" s="241">
        <f>$C$4*(1+'Immobilie als Kapitalanlage'!$D$47)^A8</f>
        <v>0</v>
      </c>
      <c r="D8" s="244">
        <f t="shared" ref="D8:D54" si="69">B8+C8</f>
        <v>259110.39848999999</v>
      </c>
      <c r="E8" s="138"/>
      <c r="F8" s="245">
        <f>MAX(-FV('Immobilie als Kapitalanlage'!$D$26/12,A8*12,(-I8/12),'Immobilie als Kapitalanlage'!$C$25,0),0)</f>
        <v>232988.64931097213</v>
      </c>
      <c r="G8" s="245">
        <f>IF(I8-H8&gt;G7,F7*'Immobilie als Kapitalanlage'!$D$26,I8-H8)</f>
        <v>8234.9399087104539</v>
      </c>
      <c r="H8" s="241">
        <f t="shared" si="4"/>
        <v>4215.0600912895461</v>
      </c>
      <c r="I8" s="241">
        <f>$F$4*('Immobilie als Kapitalanlage'!$D$26+'Immobilie als Kapitalanlage'!$D$36)</f>
        <v>12450</v>
      </c>
      <c r="J8" s="246">
        <f t="shared" ref="J8:M8" si="70">F8</f>
        <v>232988.64931097213</v>
      </c>
      <c r="K8" s="246">
        <f t="shared" si="70"/>
        <v>8234.9399087104539</v>
      </c>
      <c r="L8" s="246">
        <f t="shared" si="70"/>
        <v>4215.0600912895461</v>
      </c>
      <c r="M8" s="246">
        <f t="shared" si="70"/>
        <v>12450</v>
      </c>
      <c r="N8" s="246">
        <f t="shared" ref="N8:Q8" si="71">F8</f>
        <v>232988.64931097213</v>
      </c>
      <c r="O8" s="246">
        <f t="shared" si="71"/>
        <v>8234.9399087104539</v>
      </c>
      <c r="P8" s="246">
        <f t="shared" si="71"/>
        <v>4215.0600912895461</v>
      </c>
      <c r="Q8" s="246">
        <f t="shared" si="71"/>
        <v>12450</v>
      </c>
      <c r="R8" s="250">
        <f t="shared" si="6"/>
        <v>-1545.9678143999997</v>
      </c>
      <c r="S8" s="250">
        <f>'Immobilie als Kapitalanlage'!$C$27*12*(1+'Immobilie als Kapitalanlage'!$D$44)^A7</f>
        <v>-259.78371839999994</v>
      </c>
      <c r="T8" s="250">
        <f>'Immobilie als Kapitalanlage'!$C$29*12*(1+'Immobilie als Kapitalanlage'!$D$44)^A7</f>
        <v>-904.14921599999991</v>
      </c>
      <c r="U8" s="250">
        <f>'Immobilie als Kapitalanlage'!$C$30*12*(1+'Immobilie als Kapitalanlage'!$D$44)^A7</f>
        <v>-382.03487999999999</v>
      </c>
      <c r="V8" s="250">
        <f>'Immobilie als Kapitalanlage'!$C$28*12*(1+'Immobilie als Kapitalanlage'!$D$44)^A7</f>
        <v>-649.45929599999999</v>
      </c>
      <c r="W8" s="241">
        <f>$W$5*(1+'Immobilie als Kapitalanlage'!$D$43)^A7</f>
        <v>10824.321599999999</v>
      </c>
      <c r="X8" s="241">
        <f>$X$5*(1+'Immobilie als Kapitalanlage'!$D$43)^A7</f>
        <v>12339.726623999997</v>
      </c>
      <c r="Y8" s="241">
        <f>-'Immobilie als Kapitalanlage'!$C$25*'Immobilie als Kapitalanlage'!$D$99</f>
        <v>0</v>
      </c>
      <c r="Z8" s="241">
        <f t="shared" si="7"/>
        <v>0</v>
      </c>
      <c r="AA8" s="241">
        <f>FV((((1+'Immobilie als Kapitalanlage'!$D$80)^(1/12)-1)),A8*12,Y8/12,-'Immobilie als Kapitalanlage'!$G$95,)</f>
        <v>0</v>
      </c>
      <c r="AB8" s="241">
        <f>$AB$5*(1+'Immobilie als Kapitalanlage'!$D$51)^A7</f>
        <v>84896.639999999999</v>
      </c>
      <c r="AC8" s="241">
        <f>IF(AND(AB8&gt;Steuern!$D$6,AB8&lt;Steuern!$D$10),INT((Steuern!$H$8*(AB8-Steuern!$D$6)/10000+Steuern!$I$8)*(AB8-Steuern!$D$6)/10000),IF(AND(AB8&gt;Steuern!$F$8,AB8&lt;Steuern!$D$12),INT((Steuern!$H$10*(AB8-Steuern!$F$8)/10000+Steuern!$I$10)*(AB8-Steuern!$F$8)/10000+Steuern!$J$10),IF(AND(AB8&gt;Steuern!$F$10,AB8&lt;Steuern!$D$14),INT(AB8*Steuern!$H$12-Steuern!$I$12),IF(AB8&gt;Steuern!$F$12,INT(AB8*Steuern!$H$14-Steuern!$I$14),0))))</f>
        <v>25683</v>
      </c>
      <c r="AD8" s="241">
        <f>IF(AND(AB8/2&gt;Steuern!$D$6,AB8/2&lt;Steuern!$D$10),INT((Steuern!$H$8*(AB8/2-Steuern!$D$8)/10000+Steuern!$I$8)*(AB8/2-Steuern!$D$6)/10000),IF(AND(AB8/2&gt;Steuern!$F$8,AB8/2&lt;Steuern!$D$12),INT((Steuern!$H$10*(AB8/2-Steuern!$F$8)/10000+Steuern!$I$10)*(AB8/2-Steuern!$F$8)/10000+Steuern!$J$10),IF(AND(AB8/2&gt;Steuern!$F$10,AB8/2&lt;Steuern!$D$14),INT(AB8/2*Steuern!$H$12-Steuern!$I$12),IF(AB8/2&gt;Steuern!$F$12,INT(AB8/2*Steuern!$H$14-Steuern!$I$14),0))))*2</f>
        <v>17306</v>
      </c>
      <c r="AE8" s="241">
        <f t="shared" si="8"/>
        <v>1043.4138768895464</v>
      </c>
      <c r="AF8" s="241">
        <f t="shared" si="9"/>
        <v>1043.4138768895464</v>
      </c>
      <c r="AG8" s="241">
        <f t="shared" si="10"/>
        <v>1043.4138768895464</v>
      </c>
      <c r="AH8" s="241">
        <f t="shared" si="11"/>
        <v>2558.8189008895442</v>
      </c>
      <c r="AI8" s="241">
        <f t="shared" si="12"/>
        <v>2558.8189008895442</v>
      </c>
      <c r="AJ8" s="241">
        <f t="shared" si="13"/>
        <v>2558.8189008895442</v>
      </c>
      <c r="AK8" s="248"/>
      <c r="AL8" s="241">
        <f>('Immobilie als Kapitalanlage'!$C$16+'Immobilie als Kapitalanlage'!$C$20+'Immobilie als Kapitalanlage'!$C$15)*(1-'Immobilie als Kapitalanlage'!$D$53)</f>
        <v>190858.5</v>
      </c>
      <c r="AM8" s="241">
        <f>AL8*'Immobilie als Kapitalanlage'!$D$52</f>
        <v>3817.17</v>
      </c>
      <c r="AN8" s="241">
        <f t="shared" si="14"/>
        <v>82122.883876889551</v>
      </c>
      <c r="AO8" s="241">
        <f>IF(AND(AN8&gt;Steuern!$D$6,AN8&lt;Steuern!$D$10),INT((Steuern!H11*(AN8-Steuern!$D$8)/10000+Steuern!$I$8)*(AN8-Steuern!$D$6)/10000),IF(AND(AN8&gt;Steuern!$F$8,AN8&lt;Steuern!$D$12),INT((Steuern!$H$10*(AN8-Steuern!$F$8)/10000+Steuern!$I$10)*(AN8-Steuern!$F$8)/10000+Steuern!$J$10),IF(AND(AN8&gt;Steuern!$F$10,AN8&lt;Steuern!$D$14),INT(AN8*Steuern!$H$12-Steuern!$I$12),IF(AN8&gt;Steuern!$F$12,INT(AN8*Steuern!$H$14-Steuern!$I$14),0))))</f>
        <v>24518</v>
      </c>
      <c r="AP8" s="241">
        <f>IF(AND(AN8/2&gt;Steuern!$D$6,AN8/2&lt;Steuern!$D$10),INT((Steuern!$H$8*(AN8/2-Steuern!$D$8)/10000+Steuern!$I$8)*(AN8/2-Steuern!$D$6)/10000),IF(AND(AN8/2&gt;Steuern!$F$8,AN8/2&lt;Steuern!$D$12),INT((Steuern!$H$10*(AN8/2-Steuern!$F$8)/10000+Steuern!$I$10)*(AN8/2-Steuern!$F$8)/10000+Steuern!$J$10),IF(AND(AN8/2&gt;Steuern!$F$10,AN8/2&lt;Steuern!$D$14),INT(AN8/2*Steuern!$H$12-Steuern!$I$12),IF(AN8/2&gt;Steuern!$F$12,INT(AN8/2*Steuern!$H$14-Steuern!$I$14),0))))*2</f>
        <v>16366</v>
      </c>
      <c r="AQ8" s="241">
        <f t="shared" si="15"/>
        <v>82122.883876889551</v>
      </c>
      <c r="AR8" s="241">
        <f>IF(AND(AQ8&gt;Steuern!$D$6,AQ8&lt;Steuern!$D$10),INT((Steuern!$H$8*(AQ8-Steuern!$D$6)/10000+Steuern!$I$8)*(AQ8-Steuern!$D$6)/10000),IF(AND(AQ8&gt;Steuern!$F$8,AQ8&lt;Steuern!$D$12),INT((Steuern!$H$10*(AQ8-Steuern!$F$8)/10000+Steuern!$I$10)*(AQ8-Steuern!$F$8)/10000+Steuern!$J$10),IF(AND(AQ8&gt;Steuern!$F$10,AQ8&lt;Steuern!$D$14),INT(AQ8*Steuern!$H$12-Steuern!$I$12),IF(AQ8&gt;Steuern!$F$12,INT(AQ8*Steuern!$H$14-Steuern!$I$14),0))))</f>
        <v>24518</v>
      </c>
      <c r="AS8" s="241">
        <f t="shared" si="16"/>
        <v>82122.883876889551</v>
      </c>
      <c r="AT8" s="241">
        <f>IF(AND(AS8&gt;Steuern!$D$6,AS8&lt;Steuern!$D$10),INT((Steuern!$H$8*(AS8-Steuern!$D$6)/10000+Steuern!$I$8)*(AS8-Steuern!$D$6)/10000),IF(AND(AS8&gt;Steuern!$F$8,AS8&lt;Steuern!$D$12),INT((Steuern!$H$10*(AS8-Steuern!$F$8)/10000+Steuern!$I$10)*(AS8-Steuern!$F$8)/10000+Steuern!$J$10),IF(AND(AS8&gt;Steuern!$F$10,AS8&lt;Steuern!$D$14),INT(AS8*Steuern!$H$12-Steuern!$I$12),IF(AS8&gt;Steuern!$F$12,INT(AS8*Steuern!$H$14-Steuern!$I$14),0))))</f>
        <v>24518</v>
      </c>
      <c r="AU8" s="241">
        <f t="shared" si="17"/>
        <v>83638.288900889544</v>
      </c>
      <c r="AV8" s="241">
        <f>IF(AND(AU8&gt;Steuern!$D$6,AU8&lt;Steuern!$D$10),INT((Steuern!$H$8*(AU8-Steuern!$D$6)/10000+Steuern!$I$8)*(AU8-Steuern!$D$6)/10000),IF(AND(AU8&gt;Steuern!$F$8,AU8&lt;Steuern!$D$12),INT((Steuern!$H$10*(AU8-Steuern!$F$8)/10000+Steuern!$I$10)*(AU8-Steuern!$F$8)/10000+Steuern!$J$10),IF(AND(AU8&gt;Steuern!$F$10,AU8&lt;Steuern!$D$14),INT(AU8*Steuern!$H$12-Steuern!$I$12),IF(AU8&gt;Steuern!$F$12,INT(AU8*Steuern!$H$14-Steuern!$I$14),0))))</f>
        <v>25155</v>
      </c>
      <c r="AW8" s="241">
        <f>IF(AND(AU8/2&gt;Steuern!$D$6,AU8/2&lt;Steuern!$D$10),INT((Steuern!$H$8*(AU8/2-Steuern!$D$8)/10000+Steuern!$I$8)*(AU8/2-Steuern!$D$6)/10000),IF(AND(AU8/2&gt;Steuern!$F$8,AU8/2&lt;Steuern!$D$12),INT((Steuern!$H$10*(AU8/2-Steuern!$F$8)/10000+Steuern!$I$10)*(AU8/2-Steuern!$F$8)/10000+Steuern!$J$10),IF(AND(AU8/2&gt;Steuern!$F$10,AU8/2&lt;Steuern!$D$14),INT(AU8/2*Steuern!$H$12-Steuern!$I$12),IF(AU8/2&gt;Steuern!$F$12,INT(AU8/2*Steuern!$H$14-Steuern!$I$14),0))))*2</f>
        <v>16878</v>
      </c>
      <c r="AX8" s="241">
        <f t="shared" si="18"/>
        <v>83638.288900889544</v>
      </c>
      <c r="AY8" s="241">
        <f>IF(AND(AX8&gt;Steuern!$D$6,AX8&lt;Steuern!$D$10),INT((Steuern!N11*(AX8-Steuern!$D$8)/10000+Steuern!$I$8)*(AX8-Steuern!$D$6)/10000),IF(AND(AX8&gt;Steuern!$F$8,AX8&lt;Steuern!$D$12),INT((Steuern!$H$10*(AX8-Steuern!$F$8)/10000+Steuern!$I$10)*(AX8-Steuern!$F$8)/10000+Steuern!$J$10),IF(AND(AX8&gt;Steuern!$F$10,AX8&lt;Steuern!$D$14),INT(AX8*Steuern!$H$12-Steuern!$I$12),IF(AX8&gt;Steuern!$F$12,INT(AX8*Steuern!$H$14-Steuern!$I$14),0))))</f>
        <v>25155</v>
      </c>
      <c r="AZ8" s="241">
        <f t="shared" si="19"/>
        <v>83638.288900889544</v>
      </c>
      <c r="BA8" s="241">
        <f>IF(AND(AZ8&gt;Steuern!$D$6,AZ8&lt;Steuern!$D$10),INT((Steuern!P11*(AZ8-Steuern!$D$8)/10000+Steuern!$I$8)*(AZ8-Steuern!$D$6)/10000),IF(AND(AZ8&gt;Steuern!$F$8,AZ8&lt;Steuern!$D$12),INT((Steuern!$H$10*(AZ8-Steuern!$F$8)/10000+Steuern!$I$10)*(AZ8-Steuern!$F$8)/10000+Steuern!$J$10),IF(AND(AZ8&gt;Steuern!$F$10,AZ8&lt;Steuern!$D$14),INT(AZ8*Steuern!$H$12-Steuern!$I$12),IF(AZ8&gt;Steuern!$F$12,INT(AZ8*Steuern!$H$14-Steuern!$I$14),0))))</f>
        <v>25155</v>
      </c>
      <c r="BB8" s="241">
        <f t="shared" ref="BB8:BC8" si="72">AC8-AO8</f>
        <v>1165</v>
      </c>
      <c r="BC8" s="241">
        <f t="shared" si="72"/>
        <v>940</v>
      </c>
      <c r="BD8" s="241">
        <f t="shared" si="21"/>
        <v>1165</v>
      </c>
      <c r="BE8" s="241">
        <f t="shared" si="22"/>
        <v>1165</v>
      </c>
      <c r="BF8" s="241">
        <f t="shared" ref="BF8:BG8" si="73">AC8-AV8</f>
        <v>528</v>
      </c>
      <c r="BG8" s="241">
        <f t="shared" si="73"/>
        <v>428</v>
      </c>
      <c r="BH8" s="241">
        <f t="shared" si="24"/>
        <v>528</v>
      </c>
      <c r="BI8" s="241">
        <f t="shared" si="25"/>
        <v>528</v>
      </c>
      <c r="BJ8" s="241">
        <f t="shared" si="26"/>
        <v>-2656.1055104000006</v>
      </c>
      <c r="BK8" s="241">
        <f t="shared" si="27"/>
        <v>-2881.1055104000006</v>
      </c>
      <c r="BL8" s="241">
        <f t="shared" si="28"/>
        <v>-2656.1055104000006</v>
      </c>
      <c r="BM8" s="241">
        <f t="shared" si="29"/>
        <v>-2656.1055104000006</v>
      </c>
      <c r="BN8" s="241">
        <f t="shared" si="30"/>
        <v>-2656.1055104000006</v>
      </c>
      <c r="BO8" s="241">
        <f t="shared" si="31"/>
        <v>-34472.3810304</v>
      </c>
      <c r="BP8" s="241">
        <f t="shared" si="32"/>
        <v>-2881.1055104000006</v>
      </c>
      <c r="BQ8" s="241">
        <f t="shared" si="33"/>
        <v>-35603.3810304</v>
      </c>
      <c r="BR8" s="241">
        <f t="shared" si="34"/>
        <v>-2656.1055104000006</v>
      </c>
      <c r="BS8" s="241">
        <f t="shared" si="35"/>
        <v>-34472.3810304</v>
      </c>
      <c r="BT8" s="241">
        <f t="shared" si="36"/>
        <v>-2656.1055104000006</v>
      </c>
      <c r="BU8" s="241">
        <f t="shared" si="37"/>
        <v>-34472.3810304</v>
      </c>
      <c r="BV8" s="241">
        <f t="shared" si="38"/>
        <v>-1777.7004864000028</v>
      </c>
      <c r="BW8" s="241">
        <f t="shared" si="39"/>
        <v>-1877.7004864000028</v>
      </c>
      <c r="BX8" s="241">
        <f t="shared" si="40"/>
        <v>-1777.7004864000028</v>
      </c>
      <c r="BY8" s="241">
        <f t="shared" si="41"/>
        <v>-1777.7004864000028</v>
      </c>
      <c r="BZ8" s="241">
        <f t="shared" si="42"/>
        <v>-1777.7004864000028</v>
      </c>
      <c r="CA8" s="241">
        <f t="shared" si="43"/>
        <v>-31057.724806400009</v>
      </c>
      <c r="CB8" s="241">
        <f t="shared" si="44"/>
        <v>-1877.7004864000028</v>
      </c>
      <c r="CC8" s="241">
        <f t="shared" si="45"/>
        <v>-31671.724806400009</v>
      </c>
      <c r="CD8" s="241">
        <f t="shared" si="46"/>
        <v>-1777.7004864000028</v>
      </c>
      <c r="CE8" s="241">
        <f t="shared" si="47"/>
        <v>-31057.724806400009</v>
      </c>
      <c r="CF8" s="241">
        <f t="shared" si="48"/>
        <v>-1777.7004864000028</v>
      </c>
      <c r="CG8" s="241">
        <f t="shared" si="49"/>
        <v>-31057.724806400009</v>
      </c>
      <c r="CI8" s="249">
        <f t="shared" ca="1" si="64"/>
        <v>46997</v>
      </c>
      <c r="CJ8" s="241">
        <f t="shared" si="50"/>
        <v>-2656.1055104000006</v>
      </c>
      <c r="CK8" s="241">
        <f t="shared" si="51"/>
        <v>-2656.1055104000006</v>
      </c>
      <c r="CL8" s="241">
        <f t="shared" si="52"/>
        <v>-2656.1055104000006</v>
      </c>
      <c r="CM8" s="241">
        <f t="shared" si="53"/>
        <v>-2656.1055104000006</v>
      </c>
      <c r="CN8" s="241">
        <f t="shared" si="54"/>
        <v>-2656.1055104000006</v>
      </c>
      <c r="CO8" s="241"/>
      <c r="CP8" s="241"/>
      <c r="CQ8" s="241"/>
      <c r="CR8" s="241"/>
      <c r="CS8" s="241"/>
      <c r="CT8" s="241"/>
      <c r="CU8" s="241"/>
      <c r="CV8" s="241"/>
      <c r="CW8" s="241"/>
      <c r="CX8" s="241"/>
      <c r="CY8" s="241"/>
      <c r="CZ8" s="241"/>
      <c r="DA8" s="241">
        <f t="shared" si="55"/>
        <v>-1777.7004864000028</v>
      </c>
      <c r="DB8" s="241">
        <f t="shared" si="56"/>
        <v>-1777.7004864000028</v>
      </c>
      <c r="DC8" s="241">
        <f t="shared" si="57"/>
        <v>-1777.7004864000028</v>
      </c>
      <c r="DD8" s="241">
        <f t="shared" si="58"/>
        <v>-1777.7004864000028</v>
      </c>
      <c r="DE8" s="241">
        <f t="shared" si="59"/>
        <v>-1777.7004864000028</v>
      </c>
      <c r="DF8" s="241"/>
      <c r="DG8" s="241"/>
      <c r="DH8" s="241"/>
      <c r="DI8" s="241"/>
      <c r="DJ8" s="241"/>
      <c r="DK8" s="241"/>
      <c r="DL8" s="241"/>
      <c r="DM8" s="241"/>
      <c r="DN8" s="241"/>
      <c r="DO8" s="241"/>
      <c r="DP8" s="241"/>
      <c r="DQ8" s="241"/>
      <c r="DR8" s="241"/>
      <c r="DS8" s="241">
        <f t="shared" si="3"/>
        <v>-1777.7004864000028</v>
      </c>
    </row>
    <row r="9" spans="1:123" ht="15.6">
      <c r="A9" s="243">
        <v>5</v>
      </c>
      <c r="B9" s="244">
        <f>B8*(1+'Immobilie als Kapitalanlage'!$D$47)</f>
        <v>261701.50247489999</v>
      </c>
      <c r="C9" s="241">
        <f>$C$4*(1+'Immobilie als Kapitalanlage'!$D$47)^A9</f>
        <v>0</v>
      </c>
      <c r="D9" s="244">
        <f t="shared" si="69"/>
        <v>261701.50247489999</v>
      </c>
      <c r="E9" s="138"/>
      <c r="F9" s="245">
        <f>MAX(-FV('Immobilie als Kapitalanlage'!$D$26/12,A9*12,(-I9/12),'Immobilie als Kapitalanlage'!$C$25,0),0)</f>
        <v>228623.67237575116</v>
      </c>
      <c r="G9" s="245">
        <f>IF(I9-H9&gt;G8,F8*'Immobilie als Kapitalanlage'!$D$26,I9-H9)</f>
        <v>8085.0230647790304</v>
      </c>
      <c r="H9" s="241">
        <f t="shared" si="4"/>
        <v>4364.9769352209696</v>
      </c>
      <c r="I9" s="241">
        <f>$F$4*('Immobilie als Kapitalanlage'!$D$26+'Immobilie als Kapitalanlage'!$D$36)</f>
        <v>12450</v>
      </c>
      <c r="J9" s="246">
        <f t="shared" ref="J9:M9" si="74">F9</f>
        <v>228623.67237575116</v>
      </c>
      <c r="K9" s="246">
        <f t="shared" si="74"/>
        <v>8085.0230647790304</v>
      </c>
      <c r="L9" s="246">
        <f t="shared" si="74"/>
        <v>4364.9769352209696</v>
      </c>
      <c r="M9" s="246">
        <f t="shared" si="74"/>
        <v>12450</v>
      </c>
      <c r="N9" s="246">
        <f t="shared" ref="N9:Q9" si="75">F9</f>
        <v>228623.67237575116</v>
      </c>
      <c r="O9" s="246">
        <f t="shared" si="75"/>
        <v>8085.0230647790304</v>
      </c>
      <c r="P9" s="246">
        <f t="shared" si="75"/>
        <v>4364.9769352209696</v>
      </c>
      <c r="Q9" s="246">
        <f t="shared" si="75"/>
        <v>12450</v>
      </c>
      <c r="R9" s="250">
        <f t="shared" si="6"/>
        <v>-1576.887170688</v>
      </c>
      <c r="S9" s="250">
        <f>'Immobilie als Kapitalanlage'!$C$27*12*(1+'Immobilie als Kapitalanlage'!$D$44)^A8</f>
        <v>-264.97939276799997</v>
      </c>
      <c r="T9" s="250">
        <f>'Immobilie als Kapitalanlage'!$C$29*12*(1+'Immobilie als Kapitalanlage'!$D$44)^A8</f>
        <v>-922.23220031999995</v>
      </c>
      <c r="U9" s="250">
        <f>'Immobilie als Kapitalanlage'!$C$30*12*(1+'Immobilie als Kapitalanlage'!$D$44)^A8</f>
        <v>-389.6755776</v>
      </c>
      <c r="V9" s="250">
        <f>'Immobilie als Kapitalanlage'!$C$28*12*(1+'Immobilie als Kapitalanlage'!$D$44)^A8</f>
        <v>-662.44848191999995</v>
      </c>
      <c r="W9" s="241">
        <f>$W$5*(1+'Immobilie als Kapitalanlage'!$D$43)^A8</f>
        <v>11040.808031999999</v>
      </c>
      <c r="X9" s="241">
        <f>$X$5*(1+'Immobilie als Kapitalanlage'!$D$43)^A8</f>
        <v>12586.521156479997</v>
      </c>
      <c r="Y9" s="241">
        <f>-'Immobilie als Kapitalanlage'!$C$25*'Immobilie als Kapitalanlage'!$D$99</f>
        <v>0</v>
      </c>
      <c r="Z9" s="241">
        <f t="shared" si="7"/>
        <v>0</v>
      </c>
      <c r="AA9" s="241">
        <f>FV((((1+'Immobilie als Kapitalanlage'!$D$80)^(1/12)-1)),A9*12,Y9/12,-'Immobilie als Kapitalanlage'!$G$95,)</f>
        <v>0</v>
      </c>
      <c r="AB9" s="241">
        <f>$AB$5*(1+'Immobilie als Kapitalanlage'!$D$51)^A8</f>
        <v>86594.572799999994</v>
      </c>
      <c r="AC9" s="241">
        <f>IF(AND(AB9&gt;Steuern!$D$6,AB9&lt;Steuern!$D$10),INT((Steuern!$H$8*(AB9-Steuern!$D$6)/10000+Steuern!$I$8)*(AB9-Steuern!$D$6)/10000),IF(AND(AB9&gt;Steuern!$F$8,AB9&lt;Steuern!$D$12),INT((Steuern!$H$10*(AB9-Steuern!$F$8)/10000+Steuern!$I$10)*(AB9-Steuern!$F$8)/10000+Steuern!$J$10),IF(AND(AB9&gt;Steuern!$F$10,AB9&lt;Steuern!$D$14),INT(AB9*Steuern!$H$12-Steuern!$I$12),IF(AB9&gt;Steuern!$F$12,INT(AB9*Steuern!$H$14-Steuern!$I$14),0))))</f>
        <v>26396</v>
      </c>
      <c r="AD9" s="241">
        <f>IF(AND(AB9/2&gt;Steuern!$D$6,AB9/2&lt;Steuern!$D$10),INT((Steuern!$H$8*(AB9/2-Steuern!$D$8)/10000+Steuern!$I$8)*(AB9/2-Steuern!$D$6)/10000),IF(AND(AB9/2&gt;Steuern!$F$8,AB9/2&lt;Steuern!$D$12),INT((Steuern!$H$10*(AB9/2-Steuern!$F$8)/10000+Steuern!$I$10)*(AB9/2-Steuern!$F$8)/10000+Steuern!$J$10),IF(AND(AB9/2&gt;Steuern!$F$10,AB9/2&lt;Steuern!$D$14),INT(AB9/2*Steuern!$H$12-Steuern!$I$12),IF(AB9/2&gt;Steuern!$F$12,INT(AB9/2*Steuern!$H$14-Steuern!$I$14),0))))*2</f>
        <v>17890</v>
      </c>
      <c r="AE9" s="241">
        <f t="shared" si="8"/>
        <v>1378.8977965329686</v>
      </c>
      <c r="AF9" s="241">
        <f t="shared" si="9"/>
        <v>1378.8977965329686</v>
      </c>
      <c r="AG9" s="241">
        <f t="shared" si="10"/>
        <v>1378.8977965329686</v>
      </c>
      <c r="AH9" s="241">
        <f t="shared" si="11"/>
        <v>2924.6109210129671</v>
      </c>
      <c r="AI9" s="241">
        <f t="shared" si="12"/>
        <v>2924.6109210129671</v>
      </c>
      <c r="AJ9" s="241">
        <f t="shared" si="13"/>
        <v>2924.6109210129671</v>
      </c>
      <c r="AK9" s="248"/>
      <c r="AL9" s="241">
        <f>('Immobilie als Kapitalanlage'!$C$16+'Immobilie als Kapitalanlage'!$C$20+'Immobilie als Kapitalanlage'!$C$15)*(1-'Immobilie als Kapitalanlage'!$D$53)</f>
        <v>190858.5</v>
      </c>
      <c r="AM9" s="241">
        <f>AL9*'Immobilie als Kapitalanlage'!$D$52</f>
        <v>3817.17</v>
      </c>
      <c r="AN9" s="241">
        <f t="shared" si="14"/>
        <v>84156.300596532965</v>
      </c>
      <c r="AO9" s="241">
        <f>IF(AND(AN9&gt;Steuern!$D$6,AN9&lt;Steuern!$D$10),INT((Steuern!H12*(AN9-Steuern!$D$8)/10000+Steuern!$I$8)*(AN9-Steuern!$D$6)/10000),IF(AND(AN9&gt;Steuern!$F$8,AN9&lt;Steuern!$D$12),INT((Steuern!$H$10*(AN9-Steuern!$F$8)/10000+Steuern!$I$10)*(AN9-Steuern!$F$8)/10000+Steuern!$J$10),IF(AND(AN9&gt;Steuern!$F$10,AN9&lt;Steuern!$D$14),INT(AN9*Steuern!$H$12-Steuern!$I$12),IF(AN9&gt;Steuern!$F$12,INT(AN9*Steuern!$H$14-Steuern!$I$14),0))))</f>
        <v>25372</v>
      </c>
      <c r="AP9" s="241">
        <f>IF(AND(AN9/2&gt;Steuern!$D$6,AN9/2&lt;Steuern!$D$10),INT((Steuern!$H$8*(AN9/2-Steuern!$D$8)/10000+Steuern!$I$8)*(AN9/2-Steuern!$D$6)/10000),IF(AND(AN9/2&gt;Steuern!$F$8,AN9/2&lt;Steuern!$D$12),INT((Steuern!$H$10*(AN9/2-Steuern!$F$8)/10000+Steuern!$I$10)*(AN9/2-Steuern!$F$8)/10000+Steuern!$J$10),IF(AND(AN9/2&gt;Steuern!$F$10,AN9/2&lt;Steuern!$D$14),INT(AN9/2*Steuern!$H$12-Steuern!$I$12),IF(AN9/2&gt;Steuern!$F$12,INT(AN9/2*Steuern!$H$14-Steuern!$I$14),0))))*2</f>
        <v>17054</v>
      </c>
      <c r="AQ9" s="241">
        <f t="shared" si="15"/>
        <v>84156.300596532965</v>
      </c>
      <c r="AR9" s="241">
        <f>IF(AND(AQ9&gt;Steuern!$D$6,AQ9&lt;Steuern!$D$10),INT((Steuern!$H$8*(AQ9-Steuern!$D$6)/10000+Steuern!$I$8)*(AQ9-Steuern!$D$6)/10000),IF(AND(AQ9&gt;Steuern!$F$8,AQ9&lt;Steuern!$D$12),INT((Steuern!$H$10*(AQ9-Steuern!$F$8)/10000+Steuern!$I$10)*(AQ9-Steuern!$F$8)/10000+Steuern!$J$10),IF(AND(AQ9&gt;Steuern!$F$10,AQ9&lt;Steuern!$D$14),INT(AQ9*Steuern!$H$12-Steuern!$I$12),IF(AQ9&gt;Steuern!$F$12,INT(AQ9*Steuern!$H$14-Steuern!$I$14),0))))</f>
        <v>25372</v>
      </c>
      <c r="AS9" s="241">
        <f t="shared" si="16"/>
        <v>84156.300596532965</v>
      </c>
      <c r="AT9" s="241">
        <f>IF(AND(AS9&gt;Steuern!$D$6,AS9&lt;Steuern!$D$10),INT((Steuern!$H$8*(AS9-Steuern!$D$6)/10000+Steuern!$I$8)*(AS9-Steuern!$D$6)/10000),IF(AND(AS9&gt;Steuern!$F$8,AS9&lt;Steuern!$D$12),INT((Steuern!$H$10*(AS9-Steuern!$F$8)/10000+Steuern!$I$10)*(AS9-Steuern!$F$8)/10000+Steuern!$J$10),IF(AND(AS9&gt;Steuern!$F$10,AS9&lt;Steuern!$D$14),INT(AS9*Steuern!$H$12-Steuern!$I$12),IF(AS9&gt;Steuern!$F$12,INT(AS9*Steuern!$H$14-Steuern!$I$14),0))))</f>
        <v>25372</v>
      </c>
      <c r="AU9" s="241">
        <f t="shared" si="17"/>
        <v>85702.013721012961</v>
      </c>
      <c r="AV9" s="241">
        <f>IF(AND(AU9&gt;Steuern!$D$6,AU9&lt;Steuern!$D$10),INT((Steuern!$H$8*(AU9-Steuern!$D$6)/10000+Steuern!$I$8)*(AU9-Steuern!$D$6)/10000),IF(AND(AU9&gt;Steuern!$F$8,AU9&lt;Steuern!$D$12),INT((Steuern!$H$10*(AU9-Steuern!$F$8)/10000+Steuern!$I$10)*(AU9-Steuern!$F$8)/10000+Steuern!$J$10),IF(AND(AU9&gt;Steuern!$F$10,AU9&lt;Steuern!$D$14),INT(AU9*Steuern!$H$12-Steuern!$I$12),IF(AU9&gt;Steuern!$F$12,INT(AU9*Steuern!$H$14-Steuern!$I$14),0))))</f>
        <v>26021</v>
      </c>
      <c r="AW9" s="241">
        <f>IF(AND(AU9/2&gt;Steuern!$D$6,AU9/2&lt;Steuern!$D$10),INT((Steuern!$H$8*(AU9/2-Steuern!$D$8)/10000+Steuern!$I$8)*(AU9/2-Steuern!$D$6)/10000),IF(AND(AU9/2&gt;Steuern!$F$8,AU9/2&lt;Steuern!$D$12),INT((Steuern!$H$10*(AU9/2-Steuern!$F$8)/10000+Steuern!$I$10)*(AU9/2-Steuern!$F$8)/10000+Steuern!$J$10),IF(AND(AU9/2&gt;Steuern!$F$10,AU9/2&lt;Steuern!$D$14),INT(AU9/2*Steuern!$H$12-Steuern!$I$12),IF(AU9/2&gt;Steuern!$F$12,INT(AU9/2*Steuern!$H$14-Steuern!$I$14),0))))*2</f>
        <v>17582</v>
      </c>
      <c r="AX9" s="241">
        <f t="shared" si="18"/>
        <v>85702.013721012961</v>
      </c>
      <c r="AY9" s="241">
        <f>IF(AND(AX9&gt;Steuern!$D$6,AX9&lt;Steuern!$D$10),INT((Steuern!N12*(AX9-Steuern!$D$8)/10000+Steuern!$I$8)*(AX9-Steuern!$D$6)/10000),IF(AND(AX9&gt;Steuern!$F$8,AX9&lt;Steuern!$D$12),INT((Steuern!$H$10*(AX9-Steuern!$F$8)/10000+Steuern!$I$10)*(AX9-Steuern!$F$8)/10000+Steuern!$J$10),IF(AND(AX9&gt;Steuern!$F$10,AX9&lt;Steuern!$D$14),INT(AX9*Steuern!$H$12-Steuern!$I$12),IF(AX9&gt;Steuern!$F$12,INT(AX9*Steuern!$H$14-Steuern!$I$14),0))))</f>
        <v>26021</v>
      </c>
      <c r="AZ9" s="241">
        <f t="shared" si="19"/>
        <v>85702.013721012961</v>
      </c>
      <c r="BA9" s="241">
        <f>IF(AND(AZ9&gt;Steuern!$D$6,AZ9&lt;Steuern!$D$10),INT((Steuern!P12*(AZ9-Steuern!$D$8)/10000+Steuern!$I$8)*(AZ9-Steuern!$D$6)/10000),IF(AND(AZ9&gt;Steuern!$F$8,AZ9&lt;Steuern!$D$12),INT((Steuern!$H$10*(AZ9-Steuern!$F$8)/10000+Steuern!$I$10)*(AZ9-Steuern!$F$8)/10000+Steuern!$J$10),IF(AND(AZ9&gt;Steuern!$F$10,AZ9&lt;Steuern!$D$14),INT(AZ9*Steuern!$H$12-Steuern!$I$12),IF(AZ9&gt;Steuern!$F$12,INT(AZ9*Steuern!$H$14-Steuern!$I$14),0))))</f>
        <v>26021</v>
      </c>
      <c r="BB9" s="241">
        <f t="shared" ref="BB9:BC9" si="76">AC9-AO9</f>
        <v>1024</v>
      </c>
      <c r="BC9" s="241">
        <f t="shared" si="76"/>
        <v>836</v>
      </c>
      <c r="BD9" s="241">
        <f t="shared" si="21"/>
        <v>1024</v>
      </c>
      <c r="BE9" s="241">
        <f t="shared" si="22"/>
        <v>1024</v>
      </c>
      <c r="BF9" s="241">
        <f t="shared" ref="BF9:BG9" si="77">AC9-AV9</f>
        <v>375</v>
      </c>
      <c r="BG9" s="241">
        <f t="shared" si="77"/>
        <v>308</v>
      </c>
      <c r="BH9" s="241">
        <f t="shared" si="24"/>
        <v>375</v>
      </c>
      <c r="BI9" s="241">
        <f t="shared" si="25"/>
        <v>375</v>
      </c>
      <c r="BJ9" s="241">
        <f t="shared" si="26"/>
        <v>-2624.5276206080016</v>
      </c>
      <c r="BK9" s="241">
        <f t="shared" si="27"/>
        <v>-2812.5276206080016</v>
      </c>
      <c r="BL9" s="241">
        <f t="shared" si="28"/>
        <v>-2624.5276206080016</v>
      </c>
      <c r="BM9" s="241">
        <f t="shared" si="29"/>
        <v>-2624.5276206080016</v>
      </c>
      <c r="BN9" s="241">
        <f t="shared" si="30"/>
        <v>-2624.5276206080016</v>
      </c>
      <c r="BO9" s="241">
        <f t="shared" si="31"/>
        <v>-37096.908651008001</v>
      </c>
      <c r="BP9" s="241">
        <f t="shared" si="32"/>
        <v>-2812.5276206080016</v>
      </c>
      <c r="BQ9" s="241">
        <f t="shared" si="33"/>
        <v>-38415.908651008001</v>
      </c>
      <c r="BR9" s="241">
        <f t="shared" si="34"/>
        <v>-2624.5276206080016</v>
      </c>
      <c r="BS9" s="241">
        <f t="shared" si="35"/>
        <v>-37096.908651008001</v>
      </c>
      <c r="BT9" s="241">
        <f t="shared" si="36"/>
        <v>-2624.5276206080016</v>
      </c>
      <c r="BU9" s="241">
        <f t="shared" si="37"/>
        <v>-37096.908651008001</v>
      </c>
      <c r="BV9" s="241">
        <f t="shared" si="38"/>
        <v>-1727.8144961280032</v>
      </c>
      <c r="BW9" s="241">
        <f t="shared" si="39"/>
        <v>-1794.8144961280032</v>
      </c>
      <c r="BX9" s="241">
        <f t="shared" si="40"/>
        <v>-1727.8144961280032</v>
      </c>
      <c r="BY9" s="241">
        <f t="shared" si="41"/>
        <v>-1727.8144961280032</v>
      </c>
      <c r="BZ9" s="241">
        <f t="shared" si="42"/>
        <v>-1727.8144961280032</v>
      </c>
      <c r="CA9" s="241">
        <f t="shared" si="43"/>
        <v>-32785.539302528014</v>
      </c>
      <c r="CB9" s="241">
        <f t="shared" si="44"/>
        <v>-1794.8144961280032</v>
      </c>
      <c r="CC9" s="241">
        <f t="shared" si="45"/>
        <v>-33466.539302528014</v>
      </c>
      <c r="CD9" s="241">
        <f t="shared" si="46"/>
        <v>-1727.8144961280032</v>
      </c>
      <c r="CE9" s="241">
        <f t="shared" si="47"/>
        <v>-32785.539302528014</v>
      </c>
      <c r="CF9" s="241">
        <f t="shared" si="48"/>
        <v>-1727.8144961280032</v>
      </c>
      <c r="CG9" s="241">
        <f t="shared" si="49"/>
        <v>-32785.539302528014</v>
      </c>
      <c r="CI9" s="249">
        <f t="shared" ca="1" si="64"/>
        <v>47362</v>
      </c>
      <c r="CJ9" s="241">
        <f t="shared" si="50"/>
        <v>-2624.5276206080016</v>
      </c>
      <c r="CK9" s="241">
        <f t="shared" si="51"/>
        <v>-2624.5276206080016</v>
      </c>
      <c r="CL9" s="241">
        <f t="shared" si="52"/>
        <v>-2624.5276206080016</v>
      </c>
      <c r="CM9" s="241">
        <f t="shared" si="53"/>
        <v>-2624.5276206080016</v>
      </c>
      <c r="CN9" s="241">
        <f t="shared" si="54"/>
        <v>-2624.5276206080016</v>
      </c>
      <c r="CO9" s="241"/>
      <c r="CP9" s="241"/>
      <c r="CQ9" s="241"/>
      <c r="CR9" s="241"/>
      <c r="CS9" s="241"/>
      <c r="CT9" s="241"/>
      <c r="CU9" s="241"/>
      <c r="CV9" s="241"/>
      <c r="CW9" s="241"/>
      <c r="CX9" s="241"/>
      <c r="CY9" s="241"/>
      <c r="CZ9" s="241"/>
      <c r="DA9" s="241">
        <f t="shared" si="55"/>
        <v>-1727.8144961280032</v>
      </c>
      <c r="DB9" s="241">
        <f t="shared" si="56"/>
        <v>-1727.8144961280032</v>
      </c>
      <c r="DC9" s="241">
        <f t="shared" si="57"/>
        <v>-1727.8144961280032</v>
      </c>
      <c r="DD9" s="241">
        <f t="shared" si="58"/>
        <v>-1727.8144961280032</v>
      </c>
      <c r="DE9" s="241">
        <f t="shared" si="59"/>
        <v>-1727.8144961280032</v>
      </c>
      <c r="DF9" s="241"/>
      <c r="DG9" s="241"/>
      <c r="DH9" s="241"/>
      <c r="DI9" s="241"/>
      <c r="DJ9" s="241"/>
      <c r="DK9" s="241"/>
      <c r="DL9" s="241"/>
      <c r="DM9" s="241"/>
      <c r="DN9" s="241"/>
      <c r="DO9" s="241"/>
      <c r="DP9" s="241"/>
      <c r="DQ9" s="241"/>
      <c r="DR9" s="241"/>
      <c r="DS9" s="241">
        <f t="shared" si="3"/>
        <v>-1727.8144961280032</v>
      </c>
    </row>
    <row r="10" spans="1:123" ht="15.6">
      <c r="A10" s="243">
        <v>6</v>
      </c>
      <c r="B10" s="244">
        <f>B9*(1+'Immobilie als Kapitalanlage'!$D$47)</f>
        <v>264318.51749964897</v>
      </c>
      <c r="C10" s="241">
        <f>$C$4*(1+'Immobilie als Kapitalanlage'!$D$47)^A10</f>
        <v>0</v>
      </c>
      <c r="D10" s="244">
        <f t="shared" si="69"/>
        <v>264318.51749964897</v>
      </c>
      <c r="E10" s="138"/>
      <c r="F10" s="245">
        <f>MAX(-FV('Immobilie als Kapitalanlage'!$D$26/12,A10*12,(-I10/12),'Immobilie als Kapitalanlage'!$C$25,0),0)</f>
        <v>224103.44651126501</v>
      </c>
      <c r="G10" s="245">
        <f>IF(I10-H10&gt;G9,F9*'Immobilie als Kapitalanlage'!$D$26,I10-H10)</f>
        <v>7929.7741355138423</v>
      </c>
      <c r="H10" s="241">
        <f t="shared" si="4"/>
        <v>4520.2258644861577</v>
      </c>
      <c r="I10" s="241">
        <f>$F$4*('Immobilie als Kapitalanlage'!$D$26+'Immobilie als Kapitalanlage'!$D$36)</f>
        <v>12450</v>
      </c>
      <c r="J10" s="246">
        <f t="shared" ref="J10:M10" si="78">F10</f>
        <v>224103.44651126501</v>
      </c>
      <c r="K10" s="246">
        <f t="shared" si="78"/>
        <v>7929.7741355138423</v>
      </c>
      <c r="L10" s="246">
        <f t="shared" si="78"/>
        <v>4520.2258644861577</v>
      </c>
      <c r="M10" s="246">
        <f t="shared" si="78"/>
        <v>12450</v>
      </c>
      <c r="N10" s="246">
        <f t="shared" ref="N10:Q10" si="79">F10</f>
        <v>224103.44651126501</v>
      </c>
      <c r="O10" s="246">
        <f t="shared" si="79"/>
        <v>7929.7741355138423</v>
      </c>
      <c r="P10" s="246">
        <f t="shared" si="79"/>
        <v>4520.2258644861577</v>
      </c>
      <c r="Q10" s="246">
        <f t="shared" si="79"/>
        <v>12450</v>
      </c>
      <c r="R10" s="250">
        <f t="shared" si="6"/>
        <v>-1608.4249141017599</v>
      </c>
      <c r="S10" s="250">
        <f>'Immobilie als Kapitalanlage'!$C$27*12*(1+'Immobilie als Kapitalanlage'!$D$44)^A9</f>
        <v>-270.27898062335998</v>
      </c>
      <c r="T10" s="250">
        <f>'Immobilie als Kapitalanlage'!$C$29*12*(1+'Immobilie als Kapitalanlage'!$D$44)^A9</f>
        <v>-940.67684432639999</v>
      </c>
      <c r="U10" s="250">
        <f>'Immobilie als Kapitalanlage'!$C$30*12*(1+'Immobilie als Kapitalanlage'!$D$44)^A9</f>
        <v>-397.46908915199998</v>
      </c>
      <c r="V10" s="250">
        <f>'Immobilie als Kapitalanlage'!$C$28*12*(1+'Immobilie als Kapitalanlage'!$D$44)^A9</f>
        <v>-675.69745155839996</v>
      </c>
      <c r="W10" s="241">
        <f>$W$5*(1+'Immobilie als Kapitalanlage'!$D$43)^A9</f>
        <v>11261.62419264</v>
      </c>
      <c r="X10" s="241">
        <f>$X$5*(1+'Immobilie als Kapitalanlage'!$D$43)^A9</f>
        <v>12838.251579609598</v>
      </c>
      <c r="Y10" s="241">
        <f>-'Immobilie als Kapitalanlage'!$C$25*'Immobilie als Kapitalanlage'!$D$99</f>
        <v>0</v>
      </c>
      <c r="Z10" s="241">
        <f t="shared" si="7"/>
        <v>0</v>
      </c>
      <c r="AA10" s="241">
        <f>FV((((1+'Immobilie als Kapitalanlage'!$D$80)^(1/12)-1)),A10*12,Y10/12,-'Immobilie als Kapitalanlage'!$G$95,)</f>
        <v>0</v>
      </c>
      <c r="AB10" s="241">
        <f>$AB$5*(1+'Immobilie als Kapitalanlage'!$D$51)^A9</f>
        <v>88326.464256000007</v>
      </c>
      <c r="AC10" s="241">
        <f>IF(AND(AB10&gt;Steuern!$D$6,AB10&lt;Steuern!$D$10),INT((Steuern!$H$8*(AB10-Steuern!$D$6)/10000+Steuern!$I$8)*(AB10-Steuern!$D$6)/10000),IF(AND(AB10&gt;Steuern!$F$8,AB10&lt;Steuern!$D$12),INT((Steuern!$H$10*(AB10-Steuern!$F$8)/10000+Steuern!$I$10)*(AB10-Steuern!$F$8)/10000+Steuern!$J$10),IF(AND(AB10&gt;Steuern!$F$10,AB10&lt;Steuern!$D$14),INT(AB10*Steuern!$H$12-Steuern!$I$12),IF(AB10&gt;Steuern!$F$12,INT(AB10*Steuern!$H$14-Steuern!$I$14),0))))</f>
        <v>27124</v>
      </c>
      <c r="AD10" s="241">
        <f>IF(AND(AB10/2&gt;Steuern!$D$6,AB10/2&lt;Steuern!$D$10),INT((Steuern!$H$8*(AB10/2-Steuern!$D$8)/10000+Steuern!$I$8)*(AB10/2-Steuern!$D$6)/10000),IF(AND(AB10/2&gt;Steuern!$F$8,AB10/2&lt;Steuern!$D$12),INT((Steuern!$H$10*(AB10/2-Steuern!$F$8)/10000+Steuern!$I$10)*(AB10/2-Steuern!$F$8)/10000+Steuern!$J$10),IF(AND(AB10/2&gt;Steuern!$F$10,AB10/2&lt;Steuern!$D$14),INT(AB10/2*Steuern!$H$12-Steuern!$I$12),IF(AB10/2&gt;Steuern!$F$12,INT(AB10/2*Steuern!$H$14-Steuern!$I$14),0))))*2</f>
        <v>18490</v>
      </c>
      <c r="AE10" s="241">
        <f t="shared" si="8"/>
        <v>1723.4251430243967</v>
      </c>
      <c r="AF10" s="241">
        <f t="shared" si="9"/>
        <v>1723.4251430243967</v>
      </c>
      <c r="AG10" s="241">
        <f t="shared" si="10"/>
        <v>1723.4251430243967</v>
      </c>
      <c r="AH10" s="241">
        <f t="shared" si="11"/>
        <v>3300.0525299939945</v>
      </c>
      <c r="AI10" s="241">
        <f t="shared" si="12"/>
        <v>3300.0525299939945</v>
      </c>
      <c r="AJ10" s="241">
        <f t="shared" si="13"/>
        <v>3300.0525299939945</v>
      </c>
      <c r="AK10" s="248"/>
      <c r="AL10" s="241">
        <f>('Immobilie als Kapitalanlage'!$C$16+'Immobilie als Kapitalanlage'!$C$20+'Immobilie als Kapitalanlage'!$C$15)*(1-'Immobilie als Kapitalanlage'!$D$53)</f>
        <v>190858.5</v>
      </c>
      <c r="AM10" s="241">
        <f>AL10*'Immobilie als Kapitalanlage'!$D$52</f>
        <v>3817.17</v>
      </c>
      <c r="AN10" s="241">
        <f t="shared" si="14"/>
        <v>86232.719399024398</v>
      </c>
      <c r="AO10" s="241">
        <f>IF(AND(AN10&gt;Steuern!$D$6,AN10&lt;Steuern!$D$10),INT((Steuern!H13*(AN10-Steuern!$D$8)/10000+Steuern!$I$8)*(AN10-Steuern!$D$6)/10000),IF(AND(AN10&gt;Steuern!$F$8,AN10&lt;Steuern!$D$12),INT((Steuern!$H$10*(AN10-Steuern!$F$8)/10000+Steuern!$I$10)*(AN10-Steuern!$F$8)/10000+Steuern!$J$10),IF(AND(AN10&gt;Steuern!$F$10,AN10&lt;Steuern!$D$14),INT(AN10*Steuern!$H$12-Steuern!$I$12),IF(AN10&gt;Steuern!$F$12,INT(AN10*Steuern!$H$14-Steuern!$I$14),0))))</f>
        <v>26244</v>
      </c>
      <c r="AP10" s="241">
        <f>IF(AND(AN10/2&gt;Steuern!$D$6,AN10/2&lt;Steuern!$D$10),INT((Steuern!$H$8*(AN10/2-Steuern!$D$8)/10000+Steuern!$I$8)*(AN10/2-Steuern!$D$6)/10000),IF(AND(AN10/2&gt;Steuern!$F$8,AN10/2&lt;Steuern!$D$12),INT((Steuern!$H$10*(AN10/2-Steuern!$F$8)/10000+Steuern!$I$10)*(AN10/2-Steuern!$F$8)/10000+Steuern!$J$10),IF(AND(AN10/2&gt;Steuern!$F$10,AN10/2&lt;Steuern!$D$14),INT(AN10/2*Steuern!$H$12-Steuern!$I$12),IF(AN10/2&gt;Steuern!$F$12,INT(AN10/2*Steuern!$H$14-Steuern!$I$14),0))))*2</f>
        <v>17764</v>
      </c>
      <c r="AQ10" s="241">
        <f t="shared" si="15"/>
        <v>86232.719399024398</v>
      </c>
      <c r="AR10" s="241">
        <f>IF(AND(AQ10&gt;Steuern!$D$6,AQ10&lt;Steuern!$D$10),INT((Steuern!$H$8*(AQ10-Steuern!$D$6)/10000+Steuern!$I$8)*(AQ10-Steuern!$D$6)/10000),IF(AND(AQ10&gt;Steuern!$F$8,AQ10&lt;Steuern!$D$12),INT((Steuern!$H$10*(AQ10-Steuern!$F$8)/10000+Steuern!$I$10)*(AQ10-Steuern!$F$8)/10000+Steuern!$J$10),IF(AND(AQ10&gt;Steuern!$F$10,AQ10&lt;Steuern!$D$14),INT(AQ10*Steuern!$H$12-Steuern!$I$12),IF(AQ10&gt;Steuern!$F$12,INT(AQ10*Steuern!$H$14-Steuern!$I$14),0))))</f>
        <v>26244</v>
      </c>
      <c r="AS10" s="241">
        <f t="shared" si="16"/>
        <v>86232.719399024398</v>
      </c>
      <c r="AT10" s="241">
        <f>IF(AND(AS10&gt;Steuern!$D$6,AS10&lt;Steuern!$D$10),INT((Steuern!$H$8*(AS10-Steuern!$D$6)/10000+Steuern!$I$8)*(AS10-Steuern!$D$6)/10000),IF(AND(AS10&gt;Steuern!$F$8,AS10&lt;Steuern!$D$12),INT((Steuern!$H$10*(AS10-Steuern!$F$8)/10000+Steuern!$I$10)*(AS10-Steuern!$F$8)/10000+Steuern!$J$10),IF(AND(AS10&gt;Steuern!$F$10,AS10&lt;Steuern!$D$14),INT(AS10*Steuern!$H$12-Steuern!$I$12),IF(AS10&gt;Steuern!$F$12,INT(AS10*Steuern!$H$14-Steuern!$I$14),0))))</f>
        <v>26244</v>
      </c>
      <c r="AU10" s="241">
        <f t="shared" si="17"/>
        <v>87809.346785993999</v>
      </c>
      <c r="AV10" s="241">
        <f>IF(AND(AU10&gt;Steuern!$D$6,AU10&lt;Steuern!$D$10),INT((Steuern!$H$8*(AU10-Steuern!$D$6)/10000+Steuern!$I$8)*(AU10-Steuern!$D$6)/10000),IF(AND(AU10&gt;Steuern!$F$8,AU10&lt;Steuern!$D$12),INT((Steuern!$H$10*(AU10-Steuern!$F$8)/10000+Steuern!$I$10)*(AU10-Steuern!$F$8)/10000+Steuern!$J$10),IF(AND(AU10&gt;Steuern!$F$10,AU10&lt;Steuern!$D$14),INT(AU10*Steuern!$H$12-Steuern!$I$12),IF(AU10&gt;Steuern!$F$12,INT(AU10*Steuern!$H$14-Steuern!$I$14),0))))</f>
        <v>26906</v>
      </c>
      <c r="AW10" s="241">
        <f>IF(AND(AU10/2&gt;Steuern!$D$6,AU10/2&lt;Steuern!$D$10),INT((Steuern!$H$8*(AU10/2-Steuern!$D$8)/10000+Steuern!$I$8)*(AU10/2-Steuern!$D$6)/10000),IF(AND(AU10/2&gt;Steuern!$F$8,AU10/2&lt;Steuern!$D$12),INT((Steuern!$H$10*(AU10/2-Steuern!$F$8)/10000+Steuern!$I$10)*(AU10/2-Steuern!$F$8)/10000+Steuern!$J$10),IF(AND(AU10/2&gt;Steuern!$F$10,AU10/2&lt;Steuern!$D$14),INT(AU10/2*Steuern!$H$12-Steuern!$I$12),IF(AU10/2&gt;Steuern!$F$12,INT(AU10/2*Steuern!$H$14-Steuern!$I$14),0))))*2</f>
        <v>18310</v>
      </c>
      <c r="AX10" s="241">
        <f t="shared" si="18"/>
        <v>87809.346785993999</v>
      </c>
      <c r="AY10" s="241">
        <f>IF(AND(AX10&gt;Steuern!$D$6,AX10&lt;Steuern!$D$10),INT((Steuern!N13*(AX10-Steuern!$D$8)/10000+Steuern!$I$8)*(AX10-Steuern!$D$6)/10000),IF(AND(AX10&gt;Steuern!$F$8,AX10&lt;Steuern!$D$12),INT((Steuern!$H$10*(AX10-Steuern!$F$8)/10000+Steuern!$I$10)*(AX10-Steuern!$F$8)/10000+Steuern!$J$10),IF(AND(AX10&gt;Steuern!$F$10,AX10&lt;Steuern!$D$14),INT(AX10*Steuern!$H$12-Steuern!$I$12),IF(AX10&gt;Steuern!$F$12,INT(AX10*Steuern!$H$14-Steuern!$I$14),0))))</f>
        <v>26906</v>
      </c>
      <c r="AZ10" s="241">
        <f t="shared" si="19"/>
        <v>87809.346785993999</v>
      </c>
      <c r="BA10" s="241">
        <f>IF(AND(AZ10&gt;Steuern!$D$6,AZ10&lt;Steuern!$D$10),INT((Steuern!P13*(AZ10-Steuern!$D$8)/10000+Steuern!$I$8)*(AZ10-Steuern!$D$6)/10000),IF(AND(AZ10&gt;Steuern!$F$8,AZ10&lt;Steuern!$D$12),INT((Steuern!$H$10*(AZ10-Steuern!$F$8)/10000+Steuern!$I$10)*(AZ10-Steuern!$F$8)/10000+Steuern!$J$10),IF(AND(AZ10&gt;Steuern!$F$10,AZ10&lt;Steuern!$D$14),INT(AZ10*Steuern!$H$12-Steuern!$I$12),IF(AZ10&gt;Steuern!$F$12,INT(AZ10*Steuern!$H$14-Steuern!$I$14),0))))</f>
        <v>26906</v>
      </c>
      <c r="BB10" s="241">
        <f t="shared" ref="BB10:BC10" si="80">AC10-AO10</f>
        <v>880</v>
      </c>
      <c r="BC10" s="241">
        <f t="shared" si="80"/>
        <v>726</v>
      </c>
      <c r="BD10" s="241">
        <f t="shared" si="21"/>
        <v>880</v>
      </c>
      <c r="BE10" s="241">
        <f t="shared" si="22"/>
        <v>880</v>
      </c>
      <c r="BF10" s="241">
        <f t="shared" ref="BF10:BG10" si="81">AC10-AV10</f>
        <v>218</v>
      </c>
      <c r="BG10" s="241">
        <f t="shared" si="81"/>
        <v>180</v>
      </c>
      <c r="BH10" s="241">
        <f t="shared" si="24"/>
        <v>218</v>
      </c>
      <c r="BI10" s="241">
        <f t="shared" si="25"/>
        <v>218</v>
      </c>
      <c r="BJ10" s="241">
        <f t="shared" si="26"/>
        <v>-2592.4981730201616</v>
      </c>
      <c r="BK10" s="241">
        <f t="shared" si="27"/>
        <v>-2746.4981730201616</v>
      </c>
      <c r="BL10" s="241">
        <f t="shared" si="28"/>
        <v>-2592.4981730201616</v>
      </c>
      <c r="BM10" s="241">
        <f t="shared" si="29"/>
        <v>-2592.4981730201616</v>
      </c>
      <c r="BN10" s="241">
        <f t="shared" si="30"/>
        <v>-2592.4981730201616</v>
      </c>
      <c r="BO10" s="241">
        <f t="shared" si="31"/>
        <v>-39689.406824028163</v>
      </c>
      <c r="BP10" s="241">
        <f t="shared" si="32"/>
        <v>-2746.4981730201616</v>
      </c>
      <c r="BQ10" s="241">
        <f t="shared" si="33"/>
        <v>-41162.406824028163</v>
      </c>
      <c r="BR10" s="241">
        <f t="shared" si="34"/>
        <v>-2592.4981730201616</v>
      </c>
      <c r="BS10" s="241">
        <f t="shared" si="35"/>
        <v>-39689.406824028163</v>
      </c>
      <c r="BT10" s="241">
        <f t="shared" si="36"/>
        <v>-2592.4981730201616</v>
      </c>
      <c r="BU10" s="241">
        <f t="shared" si="37"/>
        <v>-39689.406824028163</v>
      </c>
      <c r="BV10" s="241">
        <f t="shared" si="38"/>
        <v>-1677.8707860505638</v>
      </c>
      <c r="BW10" s="241">
        <f t="shared" si="39"/>
        <v>-1715.8707860505638</v>
      </c>
      <c r="BX10" s="241">
        <f t="shared" si="40"/>
        <v>-1677.8707860505638</v>
      </c>
      <c r="BY10" s="241">
        <f t="shared" si="41"/>
        <v>-1677.8707860505638</v>
      </c>
      <c r="BZ10" s="241">
        <f t="shared" si="42"/>
        <v>-1677.8707860505638</v>
      </c>
      <c r="CA10" s="241">
        <f t="shared" si="43"/>
        <v>-34463.410088578574</v>
      </c>
      <c r="CB10" s="241">
        <f t="shared" si="44"/>
        <v>-1715.8707860505638</v>
      </c>
      <c r="CC10" s="241">
        <f t="shared" si="45"/>
        <v>-35182.410088578574</v>
      </c>
      <c r="CD10" s="241">
        <f t="shared" si="46"/>
        <v>-1677.8707860505638</v>
      </c>
      <c r="CE10" s="241">
        <f t="shared" si="47"/>
        <v>-34463.410088578574</v>
      </c>
      <c r="CF10" s="241">
        <f t="shared" si="48"/>
        <v>-1677.8707860505638</v>
      </c>
      <c r="CG10" s="241">
        <f t="shared" si="49"/>
        <v>-34463.410088578574</v>
      </c>
      <c r="CI10" s="249">
        <f t="shared" ca="1" si="64"/>
        <v>47727</v>
      </c>
      <c r="CJ10" s="241">
        <f t="shared" si="50"/>
        <v>-2592.4981730201616</v>
      </c>
      <c r="CK10" s="241">
        <f t="shared" si="51"/>
        <v>-2592.4981730201616</v>
      </c>
      <c r="CL10" s="241">
        <f t="shared" si="52"/>
        <v>-2592.4981730201616</v>
      </c>
      <c r="CM10" s="241">
        <f t="shared" si="53"/>
        <v>-2592.4981730201616</v>
      </c>
      <c r="CN10" s="241">
        <f t="shared" si="54"/>
        <v>-2592.4981730201616</v>
      </c>
      <c r="CO10" s="241"/>
      <c r="CP10" s="241"/>
      <c r="CQ10" s="241"/>
      <c r="CR10" s="241"/>
      <c r="CS10" s="241"/>
      <c r="CT10" s="241"/>
      <c r="CU10" s="241"/>
      <c r="CV10" s="241"/>
      <c r="CW10" s="241"/>
      <c r="CX10" s="241"/>
      <c r="CY10" s="241"/>
      <c r="CZ10" s="241"/>
      <c r="DA10" s="241">
        <f t="shared" si="55"/>
        <v>-1677.8707860505638</v>
      </c>
      <c r="DB10" s="241">
        <f t="shared" si="56"/>
        <v>-1677.8707860505638</v>
      </c>
      <c r="DC10" s="241">
        <f t="shared" si="57"/>
        <v>-1677.8707860505638</v>
      </c>
      <c r="DD10" s="241">
        <f t="shared" si="58"/>
        <v>-1677.8707860505638</v>
      </c>
      <c r="DE10" s="241">
        <f t="shared" si="59"/>
        <v>-1677.8707860505638</v>
      </c>
      <c r="DF10" s="241"/>
      <c r="DG10" s="241"/>
      <c r="DH10" s="241"/>
      <c r="DI10" s="241"/>
      <c r="DJ10" s="241"/>
      <c r="DK10" s="241"/>
      <c r="DL10" s="241"/>
      <c r="DM10" s="241"/>
      <c r="DN10" s="241"/>
      <c r="DO10" s="241"/>
      <c r="DP10" s="241"/>
      <c r="DQ10" s="241"/>
      <c r="DR10" s="241"/>
      <c r="DS10" s="241">
        <f t="shared" si="3"/>
        <v>-1677.8707860505638</v>
      </c>
    </row>
    <row r="11" spans="1:123" ht="15.6">
      <c r="A11" s="243">
        <v>7</v>
      </c>
      <c r="B11" s="244">
        <f>B10*(1+'Immobilie als Kapitalanlage'!$D$47)</f>
        <v>266961.70267464546</v>
      </c>
      <c r="C11" s="241">
        <f>$C$4*(1+'Immobilie als Kapitalanlage'!$D$47)^A11</f>
        <v>0</v>
      </c>
      <c r="D11" s="244">
        <f t="shared" si="69"/>
        <v>266961.70267464546</v>
      </c>
      <c r="E11" s="138"/>
      <c r="F11" s="245">
        <f>MAX(-FV('Immobilie als Kapitalanlage'!$D$26/12,A11*12,(-I11/12),'Immobilie als Kapitalanlage'!$C$25,0),0)</f>
        <v>219422.44998615148</v>
      </c>
      <c r="G11" s="245">
        <f>IF(I11-H11&gt;G10,F10*'Immobilie als Kapitalanlage'!$D$26,I11-H11)</f>
        <v>7769.0034748864709</v>
      </c>
      <c r="H11" s="241">
        <f t="shared" si="4"/>
        <v>4680.9965251135291</v>
      </c>
      <c r="I11" s="241">
        <f>$F$4*('Immobilie als Kapitalanlage'!$D$26+'Immobilie als Kapitalanlage'!$D$36)</f>
        <v>12450</v>
      </c>
      <c r="J11" s="246">
        <f t="shared" ref="J11:M11" si="82">F11</f>
        <v>219422.44998615148</v>
      </c>
      <c r="K11" s="246">
        <f t="shared" si="82"/>
        <v>7769.0034748864709</v>
      </c>
      <c r="L11" s="246">
        <f t="shared" si="82"/>
        <v>4680.9965251135291</v>
      </c>
      <c r="M11" s="246">
        <f t="shared" si="82"/>
        <v>12450</v>
      </c>
      <c r="N11" s="246">
        <f t="shared" ref="N11:Q11" si="83">F11</f>
        <v>219422.44998615148</v>
      </c>
      <c r="O11" s="246">
        <f t="shared" si="83"/>
        <v>7769.0034748864709</v>
      </c>
      <c r="P11" s="246">
        <f t="shared" si="83"/>
        <v>4680.9965251135291</v>
      </c>
      <c r="Q11" s="246">
        <f t="shared" si="83"/>
        <v>12450</v>
      </c>
      <c r="R11" s="250">
        <f t="shared" si="6"/>
        <v>-1640.5934123837951</v>
      </c>
      <c r="S11" s="250">
        <f>'Immobilie als Kapitalanlage'!$C$27*12*(1+'Immobilie als Kapitalanlage'!$D$44)^A10</f>
        <v>-275.68456023582718</v>
      </c>
      <c r="T11" s="250">
        <f>'Immobilie als Kapitalanlage'!$C$29*12*(1+'Immobilie als Kapitalanlage'!$D$44)^A10</f>
        <v>-959.49038121292801</v>
      </c>
      <c r="U11" s="250">
        <f>'Immobilie als Kapitalanlage'!$C$30*12*(1+'Immobilie als Kapitalanlage'!$D$44)^A10</f>
        <v>-405.41847093504003</v>
      </c>
      <c r="V11" s="250">
        <f>'Immobilie als Kapitalanlage'!$C$28*12*(1+'Immobilie als Kapitalanlage'!$D$44)^A10</f>
        <v>-689.21140058956803</v>
      </c>
      <c r="W11" s="241">
        <f>$W$5*(1+'Immobilie als Kapitalanlage'!$D$43)^A10</f>
        <v>11486.8566764928</v>
      </c>
      <c r="X11" s="241">
        <f>$X$5*(1+'Immobilie als Kapitalanlage'!$D$43)^A10</f>
        <v>13095.016611201791</v>
      </c>
      <c r="Y11" s="241">
        <f>-'Immobilie als Kapitalanlage'!$C$25*'Immobilie als Kapitalanlage'!$D$99</f>
        <v>0</v>
      </c>
      <c r="Z11" s="241">
        <f t="shared" si="7"/>
        <v>0</v>
      </c>
      <c r="AA11" s="241">
        <f>FV((((1+'Immobilie als Kapitalanlage'!$D$80)^(1/12)-1)),A11*12,Y11/12,-'Immobilie als Kapitalanlage'!$G$95,)</f>
        <v>0</v>
      </c>
      <c r="AB11" s="241">
        <f>$AB$5*(1+'Immobilie als Kapitalanlage'!$D$51)^A10</f>
        <v>90092.993541119999</v>
      </c>
      <c r="AC11" s="241">
        <f>IF(AND(AB11&gt;Steuern!$D$6,AB11&lt;Steuern!$D$10),INT((Steuern!$H$8*(AB11-Steuern!$D$6)/10000+Steuern!$I$8)*(AB11-Steuern!$D$6)/10000),IF(AND(AB11&gt;Steuern!$F$8,AB11&lt;Steuern!$D$12),INT((Steuern!$H$10*(AB11-Steuern!$F$8)/10000+Steuern!$I$10)*(AB11-Steuern!$F$8)/10000+Steuern!$J$10),IF(AND(AB11&gt;Steuern!$F$10,AB11&lt;Steuern!$D$14),INT(AB11*Steuern!$H$12-Steuern!$I$12),IF(AB11&gt;Steuern!$F$12,INT(AB11*Steuern!$H$14-Steuern!$I$14),0))))</f>
        <v>27866</v>
      </c>
      <c r="AD11" s="241">
        <f>IF(AND(AB11/2&gt;Steuern!$D$6,AB11/2&lt;Steuern!$D$10),INT((Steuern!$H$8*(AB11/2-Steuern!$D$8)/10000+Steuern!$I$8)*(AB11/2-Steuern!$D$6)/10000),IF(AND(AB11/2&gt;Steuern!$F$8,AB11/2&lt;Steuern!$D$12),INT((Steuern!$H$10*(AB11/2-Steuern!$F$8)/10000+Steuern!$I$10)*(AB11/2-Steuern!$F$8)/10000+Steuern!$J$10),IF(AND(AB11/2&gt;Steuern!$F$10,AB11/2&lt;Steuern!$D$14),INT(AB11/2*Steuern!$H$12-Steuern!$I$12),IF(AB11/2&gt;Steuern!$F$12,INT(AB11/2*Steuern!$H$14-Steuern!$I$14),0))))*2</f>
        <v>19108</v>
      </c>
      <c r="AE11" s="241">
        <f t="shared" si="8"/>
        <v>2077.2597892225349</v>
      </c>
      <c r="AF11" s="241">
        <f t="shared" si="9"/>
        <v>2077.2597892225349</v>
      </c>
      <c r="AG11" s="241">
        <f t="shared" si="10"/>
        <v>2077.2597892225349</v>
      </c>
      <c r="AH11" s="241">
        <f t="shared" si="11"/>
        <v>3685.4197239315254</v>
      </c>
      <c r="AI11" s="241">
        <f t="shared" si="12"/>
        <v>3685.4197239315254</v>
      </c>
      <c r="AJ11" s="241">
        <f t="shared" si="13"/>
        <v>3685.4197239315254</v>
      </c>
      <c r="AK11" s="248"/>
      <c r="AL11" s="241">
        <f>('Immobilie als Kapitalanlage'!$C$16+'Immobilie als Kapitalanlage'!$C$20+'Immobilie als Kapitalanlage'!$C$15)*(1-'Immobilie als Kapitalanlage'!$D$53)</f>
        <v>190858.5</v>
      </c>
      <c r="AM11" s="241">
        <f>AL11*'Immobilie als Kapitalanlage'!$D$52</f>
        <v>3817.17</v>
      </c>
      <c r="AN11" s="241">
        <f t="shared" si="14"/>
        <v>88353.083330342532</v>
      </c>
      <c r="AO11" s="241">
        <f>IF(AND(AN11&gt;Steuern!$D$6,AN11&lt;Steuern!$D$10),INT((Steuern!H14*(AN11-Steuern!$D$8)/10000+Steuern!$I$8)*(AN11-Steuern!$D$6)/10000),IF(AND(AN11&gt;Steuern!$F$8,AN11&lt;Steuern!$D$12),INT((Steuern!$H$10*(AN11-Steuern!$F$8)/10000+Steuern!$I$10)*(AN11-Steuern!$F$8)/10000+Steuern!$J$10),IF(AND(AN11&gt;Steuern!$F$10,AN11&lt;Steuern!$D$14),INT(AN11*Steuern!$H$12-Steuern!$I$12),IF(AN11&gt;Steuern!$F$12,INT(AN11*Steuern!$H$14-Steuern!$I$14),0))))</f>
        <v>27135</v>
      </c>
      <c r="AP11" s="241">
        <f>IF(AND(AN11/2&gt;Steuern!$D$6,AN11/2&lt;Steuern!$D$10),INT((Steuern!$H$8*(AN11/2-Steuern!$D$8)/10000+Steuern!$I$8)*(AN11/2-Steuern!$D$6)/10000),IF(AND(AN11/2&gt;Steuern!$F$8,AN11/2&lt;Steuern!$D$12),INT((Steuern!$H$10*(AN11/2-Steuern!$F$8)/10000+Steuern!$I$10)*(AN11/2-Steuern!$F$8)/10000+Steuern!$J$10),IF(AND(AN11/2&gt;Steuern!$F$10,AN11/2&lt;Steuern!$D$14),INT(AN11/2*Steuern!$H$12-Steuern!$I$12),IF(AN11/2&gt;Steuern!$F$12,INT(AN11/2*Steuern!$H$14-Steuern!$I$14),0))))*2</f>
        <v>18498</v>
      </c>
      <c r="AQ11" s="241">
        <f t="shared" si="15"/>
        <v>88353.083330342532</v>
      </c>
      <c r="AR11" s="241">
        <f>IF(AND(AQ11&gt;Steuern!$D$6,AQ11&lt;Steuern!$D$10),INT((Steuern!$H$8*(AQ11-Steuern!$D$6)/10000+Steuern!$I$8)*(AQ11-Steuern!$D$6)/10000),IF(AND(AQ11&gt;Steuern!$F$8,AQ11&lt;Steuern!$D$12),INT((Steuern!$H$10*(AQ11-Steuern!$F$8)/10000+Steuern!$I$10)*(AQ11-Steuern!$F$8)/10000+Steuern!$J$10),IF(AND(AQ11&gt;Steuern!$F$10,AQ11&lt;Steuern!$D$14),INT(AQ11*Steuern!$H$12-Steuern!$I$12),IF(AQ11&gt;Steuern!$F$12,INT(AQ11*Steuern!$H$14-Steuern!$I$14),0))))</f>
        <v>27135</v>
      </c>
      <c r="AS11" s="241">
        <f t="shared" si="16"/>
        <v>88353.083330342532</v>
      </c>
      <c r="AT11" s="241">
        <f>IF(AND(AS11&gt;Steuern!$D$6,AS11&lt;Steuern!$D$10),INT((Steuern!$H$8*(AS11-Steuern!$D$6)/10000+Steuern!$I$8)*(AS11-Steuern!$D$6)/10000),IF(AND(AS11&gt;Steuern!$F$8,AS11&lt;Steuern!$D$12),INT((Steuern!$H$10*(AS11-Steuern!$F$8)/10000+Steuern!$I$10)*(AS11-Steuern!$F$8)/10000+Steuern!$J$10),IF(AND(AS11&gt;Steuern!$F$10,AS11&lt;Steuern!$D$14),INT(AS11*Steuern!$H$12-Steuern!$I$12),IF(AS11&gt;Steuern!$F$12,INT(AS11*Steuern!$H$14-Steuern!$I$14),0))))</f>
        <v>27135</v>
      </c>
      <c r="AU11" s="241">
        <f t="shared" si="17"/>
        <v>89961.243265051526</v>
      </c>
      <c r="AV11" s="241">
        <f>IF(AND(AU11&gt;Steuern!$D$6,AU11&lt;Steuern!$D$10),INT((Steuern!$H$8*(AU11-Steuern!$D$6)/10000+Steuern!$I$8)*(AU11-Steuern!$D$6)/10000),IF(AND(AU11&gt;Steuern!$F$8,AU11&lt;Steuern!$D$12),INT((Steuern!$H$10*(AU11-Steuern!$F$8)/10000+Steuern!$I$10)*(AU11-Steuern!$F$8)/10000+Steuern!$J$10),IF(AND(AU11&gt;Steuern!$F$10,AU11&lt;Steuern!$D$14),INT(AU11*Steuern!$H$12-Steuern!$I$12),IF(AU11&gt;Steuern!$F$12,INT(AU11*Steuern!$H$14-Steuern!$I$14),0))))</f>
        <v>27810</v>
      </c>
      <c r="AW11" s="241">
        <f>IF(AND(AU11/2&gt;Steuern!$D$6,AU11/2&lt;Steuern!$D$10),INT((Steuern!$H$8*(AU11/2-Steuern!$D$8)/10000+Steuern!$I$8)*(AU11/2-Steuern!$D$6)/10000),IF(AND(AU11/2&gt;Steuern!$F$8,AU11/2&lt;Steuern!$D$12),INT((Steuern!$H$10*(AU11/2-Steuern!$F$8)/10000+Steuern!$I$10)*(AU11/2-Steuern!$F$8)/10000+Steuern!$J$10),IF(AND(AU11/2&gt;Steuern!$F$10,AU11/2&lt;Steuern!$D$14),INT(AU11/2*Steuern!$H$12-Steuern!$I$12),IF(AU11/2&gt;Steuern!$F$12,INT(AU11/2*Steuern!$H$14-Steuern!$I$14),0))))*2</f>
        <v>19062</v>
      </c>
      <c r="AX11" s="241">
        <f t="shared" si="18"/>
        <v>89961.243265051526</v>
      </c>
      <c r="AY11" s="241">
        <f>IF(AND(AX11&gt;Steuern!$D$6,AX11&lt;Steuern!$D$10),INT((Steuern!N14*(AX11-Steuern!$D$8)/10000+Steuern!$I$8)*(AX11-Steuern!$D$6)/10000),IF(AND(AX11&gt;Steuern!$F$8,AX11&lt;Steuern!$D$12),INT((Steuern!$H$10*(AX11-Steuern!$F$8)/10000+Steuern!$I$10)*(AX11-Steuern!$F$8)/10000+Steuern!$J$10),IF(AND(AX11&gt;Steuern!$F$10,AX11&lt;Steuern!$D$14),INT(AX11*Steuern!$H$12-Steuern!$I$12),IF(AX11&gt;Steuern!$F$12,INT(AX11*Steuern!$H$14-Steuern!$I$14),0))))</f>
        <v>27810</v>
      </c>
      <c r="AZ11" s="241">
        <f t="shared" si="19"/>
        <v>89961.243265051526</v>
      </c>
      <c r="BA11" s="241">
        <f>IF(AND(AZ11&gt;Steuern!$D$6,AZ11&lt;Steuern!$D$10),INT((Steuern!P14*(AZ11-Steuern!$D$8)/10000+Steuern!$I$8)*(AZ11-Steuern!$D$6)/10000),IF(AND(AZ11&gt;Steuern!$F$8,AZ11&lt;Steuern!$D$12),INT((Steuern!$H$10*(AZ11-Steuern!$F$8)/10000+Steuern!$I$10)*(AZ11-Steuern!$F$8)/10000+Steuern!$J$10),IF(AND(AZ11&gt;Steuern!$F$10,AZ11&lt;Steuern!$D$14),INT(AZ11*Steuern!$H$12-Steuern!$I$12),IF(AZ11&gt;Steuern!$F$12,INT(AZ11*Steuern!$H$14-Steuern!$I$14),0))))</f>
        <v>27810</v>
      </c>
      <c r="BB11" s="241">
        <f t="shared" ref="BB11:BC11" si="84">AC11-AO11</f>
        <v>731</v>
      </c>
      <c r="BC11" s="241">
        <f t="shared" si="84"/>
        <v>610</v>
      </c>
      <c r="BD11" s="241">
        <f t="shared" si="21"/>
        <v>731</v>
      </c>
      <c r="BE11" s="241">
        <f t="shared" si="22"/>
        <v>731</v>
      </c>
      <c r="BF11" s="241">
        <f t="shared" ref="BF11:BG11" si="85">AC11-AV11</f>
        <v>56</v>
      </c>
      <c r="BG11" s="241">
        <f t="shared" si="85"/>
        <v>46</v>
      </c>
      <c r="BH11" s="241">
        <f t="shared" si="24"/>
        <v>56</v>
      </c>
      <c r="BI11" s="241">
        <f t="shared" si="25"/>
        <v>56</v>
      </c>
      <c r="BJ11" s="241">
        <f t="shared" si="26"/>
        <v>-2561.9481364805615</v>
      </c>
      <c r="BK11" s="241">
        <f t="shared" si="27"/>
        <v>-2682.9481364805615</v>
      </c>
      <c r="BL11" s="241">
        <f t="shared" si="28"/>
        <v>-2561.9481364805615</v>
      </c>
      <c r="BM11" s="241">
        <f t="shared" si="29"/>
        <v>-2561.9481364805615</v>
      </c>
      <c r="BN11" s="241">
        <f t="shared" si="30"/>
        <v>-2561.9481364805615</v>
      </c>
      <c r="BO11" s="241">
        <f t="shared" si="31"/>
        <v>-42251.354960508725</v>
      </c>
      <c r="BP11" s="241">
        <f t="shared" si="32"/>
        <v>-2682.9481364805615</v>
      </c>
      <c r="BQ11" s="241">
        <f t="shared" si="33"/>
        <v>-43845.354960508725</v>
      </c>
      <c r="BR11" s="241">
        <f t="shared" si="34"/>
        <v>-2561.9481364805615</v>
      </c>
      <c r="BS11" s="241">
        <f t="shared" si="35"/>
        <v>-42251.354960508725</v>
      </c>
      <c r="BT11" s="241">
        <f t="shared" si="36"/>
        <v>-2561.9481364805615</v>
      </c>
      <c r="BU11" s="241">
        <f t="shared" si="37"/>
        <v>-42251.354960508725</v>
      </c>
      <c r="BV11" s="241">
        <f t="shared" si="38"/>
        <v>-1628.788201771571</v>
      </c>
      <c r="BW11" s="241">
        <f t="shared" si="39"/>
        <v>-1638.788201771571</v>
      </c>
      <c r="BX11" s="241">
        <f t="shared" si="40"/>
        <v>-1628.788201771571</v>
      </c>
      <c r="BY11" s="241">
        <f t="shared" si="41"/>
        <v>-1628.788201771571</v>
      </c>
      <c r="BZ11" s="241">
        <f t="shared" si="42"/>
        <v>-1628.788201771571</v>
      </c>
      <c r="CA11" s="241">
        <f t="shared" si="43"/>
        <v>-36092.198290350148</v>
      </c>
      <c r="CB11" s="241">
        <f t="shared" si="44"/>
        <v>-1638.788201771571</v>
      </c>
      <c r="CC11" s="241">
        <f t="shared" si="45"/>
        <v>-36821.198290350148</v>
      </c>
      <c r="CD11" s="241">
        <f t="shared" si="46"/>
        <v>-1628.788201771571</v>
      </c>
      <c r="CE11" s="241">
        <f t="shared" si="47"/>
        <v>-36092.198290350148</v>
      </c>
      <c r="CF11" s="241">
        <f t="shared" si="48"/>
        <v>-1628.788201771571</v>
      </c>
      <c r="CG11" s="241">
        <f t="shared" si="49"/>
        <v>-36092.198290350148</v>
      </c>
      <c r="CI11" s="249">
        <f t="shared" ca="1" si="64"/>
        <v>48092</v>
      </c>
      <c r="CJ11" s="241">
        <f t="shared" si="50"/>
        <v>-2561.9481364805615</v>
      </c>
      <c r="CK11" s="241">
        <f t="shared" si="51"/>
        <v>-2561.9481364805615</v>
      </c>
      <c r="CL11" s="241">
        <f t="shared" si="52"/>
        <v>-2561.9481364805615</v>
      </c>
      <c r="CM11" s="241">
        <f t="shared" si="53"/>
        <v>-2561.9481364805615</v>
      </c>
      <c r="CN11" s="241">
        <f t="shared" si="54"/>
        <v>-2561.9481364805615</v>
      </c>
      <c r="CO11" s="241"/>
      <c r="CP11" s="241"/>
      <c r="CQ11" s="241"/>
      <c r="CR11" s="241"/>
      <c r="CS11" s="241"/>
      <c r="CT11" s="241"/>
      <c r="CU11" s="241"/>
      <c r="CV11" s="241"/>
      <c r="CW11" s="241"/>
      <c r="CX11" s="241"/>
      <c r="CY11" s="241"/>
      <c r="CZ11" s="241"/>
      <c r="DA11" s="241">
        <f t="shared" si="55"/>
        <v>-1628.788201771571</v>
      </c>
      <c r="DB11" s="241">
        <f t="shared" si="56"/>
        <v>-1628.788201771571</v>
      </c>
      <c r="DC11" s="241">
        <f t="shared" si="57"/>
        <v>-1628.788201771571</v>
      </c>
      <c r="DD11" s="241">
        <f t="shared" si="58"/>
        <v>-1628.788201771571</v>
      </c>
      <c r="DE11" s="241">
        <f t="shared" si="59"/>
        <v>-1628.788201771571</v>
      </c>
      <c r="DF11" s="241"/>
      <c r="DG11" s="241"/>
      <c r="DH11" s="241"/>
      <c r="DI11" s="241"/>
      <c r="DJ11" s="241"/>
      <c r="DK11" s="241"/>
      <c r="DL11" s="241"/>
      <c r="DM11" s="241"/>
      <c r="DN11" s="241"/>
      <c r="DO11" s="241"/>
      <c r="DP11" s="241"/>
      <c r="DQ11" s="241"/>
      <c r="DR11" s="241"/>
      <c r="DS11" s="241">
        <f t="shared" si="3"/>
        <v>-1628.788201771571</v>
      </c>
    </row>
    <row r="12" spans="1:123" ht="15.6">
      <c r="A12" s="243">
        <v>8</v>
      </c>
      <c r="B12" s="244">
        <f>B11*(1+'Immobilie als Kapitalanlage'!$D$47)</f>
        <v>269631.31970139191</v>
      </c>
      <c r="C12" s="241">
        <f>$C$4*(1+'Immobilie als Kapitalanlage'!$D$47)^A12</f>
        <v>0</v>
      </c>
      <c r="D12" s="244">
        <f t="shared" si="69"/>
        <v>269631.31970139191</v>
      </c>
      <c r="E12" s="138"/>
      <c r="F12" s="245">
        <f>MAX(-FV('Immobilie als Kapitalanlage'!$D$26/12,A12*12,(-I12/12),'Immobilie als Kapitalanlage'!$C$25,0),0)</f>
        <v>214574.96467788902</v>
      </c>
      <c r="G12" s="245">
        <f>IF(I12-H12&gt;G11,F11*'Immobilie als Kapitalanlage'!$D$26,I12-H12)</f>
        <v>7602.5146917375387</v>
      </c>
      <c r="H12" s="241">
        <f t="shared" si="4"/>
        <v>4847.4853082624613</v>
      </c>
      <c r="I12" s="241">
        <f>$F$4*('Immobilie als Kapitalanlage'!$D$26+'Immobilie als Kapitalanlage'!$D$36)</f>
        <v>12450</v>
      </c>
      <c r="J12" s="246">
        <f t="shared" ref="J12:M12" si="86">F12</f>
        <v>214574.96467788902</v>
      </c>
      <c r="K12" s="246">
        <f t="shared" si="86"/>
        <v>7602.5146917375387</v>
      </c>
      <c r="L12" s="246">
        <f t="shared" si="86"/>
        <v>4847.4853082624613</v>
      </c>
      <c r="M12" s="246">
        <f t="shared" si="86"/>
        <v>12450</v>
      </c>
      <c r="N12" s="246">
        <f t="shared" ref="N12:Q12" si="87">F12</f>
        <v>214574.96467788902</v>
      </c>
      <c r="O12" s="246">
        <f t="shared" si="87"/>
        <v>7602.5146917375387</v>
      </c>
      <c r="P12" s="246">
        <f t="shared" si="87"/>
        <v>4847.4853082624613</v>
      </c>
      <c r="Q12" s="246">
        <f t="shared" si="87"/>
        <v>12450</v>
      </c>
      <c r="R12" s="250">
        <f t="shared" si="6"/>
        <v>-1673.4052806314708</v>
      </c>
      <c r="S12" s="250">
        <f>'Immobilie als Kapitalanlage'!$C$27*12*(1+'Immobilie als Kapitalanlage'!$D$44)^A11</f>
        <v>-281.19825144054369</v>
      </c>
      <c r="T12" s="250">
        <f>'Immobilie als Kapitalanlage'!$C$29*12*(1+'Immobilie als Kapitalanlage'!$D$44)^A11</f>
        <v>-978.68018883718639</v>
      </c>
      <c r="U12" s="250">
        <f>'Immobilie als Kapitalanlage'!$C$30*12*(1+'Immobilie als Kapitalanlage'!$D$44)^A11</f>
        <v>-413.52684035374074</v>
      </c>
      <c r="V12" s="250">
        <f>'Immobilie als Kapitalanlage'!$C$28*12*(1+'Immobilie als Kapitalanlage'!$D$44)^A11</f>
        <v>-702.99562860135927</v>
      </c>
      <c r="W12" s="241">
        <f>$W$5*(1+'Immobilie als Kapitalanlage'!$D$43)^A11</f>
        <v>11716.593810022654</v>
      </c>
      <c r="X12" s="241">
        <f>$X$5*(1+'Immobilie als Kapitalanlage'!$D$43)^A11</f>
        <v>13356.916943425824</v>
      </c>
      <c r="Y12" s="241">
        <f>-'Immobilie als Kapitalanlage'!$C$25*'Immobilie als Kapitalanlage'!$D$99</f>
        <v>0</v>
      </c>
      <c r="Z12" s="241">
        <f t="shared" si="7"/>
        <v>0</v>
      </c>
      <c r="AA12" s="241">
        <f>FV((((1+'Immobilie als Kapitalanlage'!$D$80)^(1/12)-1)),A12*12,Y12/12,-'Immobilie als Kapitalanlage'!$G$95,)</f>
        <v>0</v>
      </c>
      <c r="AB12" s="241">
        <f>$AB$5*(1+'Immobilie als Kapitalanlage'!$D$51)^A11</f>
        <v>91894.853411942386</v>
      </c>
      <c r="AC12" s="241">
        <f>IF(AND(AB12&gt;Steuern!$D$6,AB12&lt;Steuern!$D$10),INT((Steuern!$H$8*(AB12-Steuern!$D$6)/10000+Steuern!$I$8)*(AB12-Steuern!$D$6)/10000),IF(AND(AB12&gt;Steuern!$F$8,AB12&lt;Steuern!$D$12),INT((Steuern!$H$10*(AB12-Steuern!$F$8)/10000+Steuern!$I$10)*(AB12-Steuern!$F$8)/10000+Steuern!$J$10),IF(AND(AB12&gt;Steuern!$F$10,AB12&lt;Steuern!$D$14),INT(AB12*Steuern!$H$12-Steuern!$I$12),IF(AB12&gt;Steuern!$F$12,INT(AB12*Steuern!$H$14-Steuern!$I$14),0))))</f>
        <v>28622</v>
      </c>
      <c r="AD12" s="241">
        <f>IF(AND(AB12/2&gt;Steuern!$D$6,AB12/2&lt;Steuern!$D$10),INT((Steuern!$H$8*(AB12/2-Steuern!$D$8)/10000+Steuern!$I$8)*(AB12/2-Steuern!$D$6)/10000),IF(AND(AB12/2&gt;Steuern!$F$8,AB12/2&lt;Steuern!$D$12),INT((Steuern!$H$10*(AB12/2-Steuern!$F$8)/10000+Steuern!$I$10)*(AB12/2-Steuern!$F$8)/10000+Steuern!$J$10),IF(AND(AB12/2&gt;Steuern!$F$10,AB12/2&lt;Steuern!$D$14),INT(AB12/2*Steuern!$H$12-Steuern!$I$12),IF(AB12/2&gt;Steuern!$F$12,INT(AB12/2*Steuern!$H$14-Steuern!$I$14),0))))*2</f>
        <v>19744</v>
      </c>
      <c r="AE12" s="241">
        <f t="shared" si="8"/>
        <v>2440.673837653645</v>
      </c>
      <c r="AF12" s="241">
        <f t="shared" si="9"/>
        <v>2440.673837653645</v>
      </c>
      <c r="AG12" s="241">
        <f t="shared" si="10"/>
        <v>2440.673837653645</v>
      </c>
      <c r="AH12" s="241">
        <f t="shared" si="11"/>
        <v>4080.9969710568148</v>
      </c>
      <c r="AI12" s="241">
        <f t="shared" si="12"/>
        <v>4080.9969710568148</v>
      </c>
      <c r="AJ12" s="241">
        <f t="shared" si="13"/>
        <v>4080.9969710568148</v>
      </c>
      <c r="AK12" s="248"/>
      <c r="AL12" s="241">
        <f>('Immobilie als Kapitalanlage'!$C$16+'Immobilie als Kapitalanlage'!$C$20+'Immobilie als Kapitalanlage'!$C$15)*(1-'Immobilie als Kapitalanlage'!$D$53)</f>
        <v>190858.5</v>
      </c>
      <c r="AM12" s="241">
        <f>AL12*'Immobilie als Kapitalanlage'!$D$52</f>
        <v>3817.17</v>
      </c>
      <c r="AN12" s="241">
        <f t="shared" si="14"/>
        <v>90518.357249596025</v>
      </c>
      <c r="AO12" s="241">
        <f>IF(AND(AN12&gt;Steuern!$D$6,AN12&lt;Steuern!$D$10),INT((Steuern!H15*(AN12-Steuern!$D$8)/10000+Steuern!$I$8)*(AN12-Steuern!$D$6)/10000),IF(AND(AN12&gt;Steuern!$F$8,AN12&lt;Steuern!$D$12),INT((Steuern!$H$10*(AN12-Steuern!$F$8)/10000+Steuern!$I$10)*(AN12-Steuern!$F$8)/10000+Steuern!$J$10),IF(AND(AN12&gt;Steuern!$F$10,AN12&lt;Steuern!$D$14),INT(AN12*Steuern!$H$12-Steuern!$I$12),IF(AN12&gt;Steuern!$F$12,INT(AN12*Steuern!$H$14-Steuern!$I$14),0))))</f>
        <v>28044</v>
      </c>
      <c r="AP12" s="241">
        <f>IF(AND(AN12/2&gt;Steuern!$D$6,AN12/2&lt;Steuern!$D$10),INT((Steuern!$H$8*(AN12/2-Steuern!$D$8)/10000+Steuern!$I$8)*(AN12/2-Steuern!$D$6)/10000),IF(AND(AN12/2&gt;Steuern!$F$8,AN12/2&lt;Steuern!$D$12),INT((Steuern!$H$10*(AN12/2-Steuern!$F$8)/10000+Steuern!$I$10)*(AN12/2-Steuern!$F$8)/10000+Steuern!$J$10),IF(AND(AN12/2&gt;Steuern!$F$10,AN12/2&lt;Steuern!$D$14),INT(AN12/2*Steuern!$H$12-Steuern!$I$12),IF(AN12/2&gt;Steuern!$F$12,INT(AN12/2*Steuern!$H$14-Steuern!$I$14),0))))*2</f>
        <v>19258</v>
      </c>
      <c r="AQ12" s="241">
        <f t="shared" si="15"/>
        <v>90518.357249596025</v>
      </c>
      <c r="AR12" s="241">
        <f>IF(AND(AQ12&gt;Steuern!$D$6,AQ12&lt;Steuern!$D$10),INT((Steuern!$H$8*(AQ12-Steuern!$D$6)/10000+Steuern!$I$8)*(AQ12-Steuern!$D$6)/10000),IF(AND(AQ12&gt;Steuern!$F$8,AQ12&lt;Steuern!$D$12),INT((Steuern!$H$10*(AQ12-Steuern!$F$8)/10000+Steuern!$I$10)*(AQ12-Steuern!$F$8)/10000+Steuern!$J$10),IF(AND(AQ12&gt;Steuern!$F$10,AQ12&lt;Steuern!$D$14),INT(AQ12*Steuern!$H$12-Steuern!$I$12),IF(AQ12&gt;Steuern!$F$12,INT(AQ12*Steuern!$H$14-Steuern!$I$14),0))))</f>
        <v>28044</v>
      </c>
      <c r="AS12" s="241">
        <f t="shared" si="16"/>
        <v>90518.357249596025</v>
      </c>
      <c r="AT12" s="241">
        <f>IF(AND(AS12&gt;Steuern!$D$6,AS12&lt;Steuern!$D$10),INT((Steuern!$H$8*(AS12-Steuern!$D$6)/10000+Steuern!$I$8)*(AS12-Steuern!$D$6)/10000),IF(AND(AS12&gt;Steuern!$F$8,AS12&lt;Steuern!$D$12),INT((Steuern!$H$10*(AS12-Steuern!$F$8)/10000+Steuern!$I$10)*(AS12-Steuern!$F$8)/10000+Steuern!$J$10),IF(AND(AS12&gt;Steuern!$F$10,AS12&lt;Steuern!$D$14),INT(AS12*Steuern!$H$12-Steuern!$I$12),IF(AS12&gt;Steuern!$F$12,INT(AS12*Steuern!$H$14-Steuern!$I$14),0))))</f>
        <v>28044</v>
      </c>
      <c r="AU12" s="241">
        <f t="shared" si="17"/>
        <v>92158.680382999199</v>
      </c>
      <c r="AV12" s="241">
        <f>IF(AND(AU12&gt;Steuern!$D$6,AU12&lt;Steuern!$D$10),INT((Steuern!$H$8*(AU12-Steuern!$D$6)/10000+Steuern!$I$8)*(AU12-Steuern!$D$6)/10000),IF(AND(AU12&gt;Steuern!$F$8,AU12&lt;Steuern!$D$12),INT((Steuern!$H$10*(AU12-Steuern!$F$8)/10000+Steuern!$I$10)*(AU12-Steuern!$F$8)/10000+Steuern!$J$10),IF(AND(AU12&gt;Steuern!$F$10,AU12&lt;Steuern!$D$14),INT(AU12*Steuern!$H$12-Steuern!$I$12),IF(AU12&gt;Steuern!$F$12,INT(AU12*Steuern!$H$14-Steuern!$I$14),0))))</f>
        <v>28733</v>
      </c>
      <c r="AW12" s="241">
        <f>IF(AND(AU12/2&gt;Steuern!$D$6,AU12/2&lt;Steuern!$D$10),INT((Steuern!$H$8*(AU12/2-Steuern!$D$8)/10000+Steuern!$I$8)*(AU12/2-Steuern!$D$6)/10000),IF(AND(AU12/2&gt;Steuern!$F$8,AU12/2&lt;Steuern!$D$12),INT((Steuern!$H$10*(AU12/2-Steuern!$F$8)/10000+Steuern!$I$10)*(AU12/2-Steuern!$F$8)/10000+Steuern!$J$10),IF(AND(AU12/2&gt;Steuern!$F$10,AU12/2&lt;Steuern!$D$14),INT(AU12/2*Steuern!$H$12-Steuern!$I$12),IF(AU12/2&gt;Steuern!$F$12,INT(AU12/2*Steuern!$H$14-Steuern!$I$14),0))))*2</f>
        <v>19838</v>
      </c>
      <c r="AX12" s="241">
        <f t="shared" si="18"/>
        <v>92158.680382999199</v>
      </c>
      <c r="AY12" s="241">
        <f>IF(AND(AX12&gt;Steuern!$D$6,AX12&lt;Steuern!$D$10),INT((Steuern!N15*(AX12-Steuern!$D$8)/10000+Steuern!$I$8)*(AX12-Steuern!$D$6)/10000),IF(AND(AX12&gt;Steuern!$F$8,AX12&lt;Steuern!$D$12),INT((Steuern!$H$10*(AX12-Steuern!$F$8)/10000+Steuern!$I$10)*(AX12-Steuern!$F$8)/10000+Steuern!$J$10),IF(AND(AX12&gt;Steuern!$F$10,AX12&lt;Steuern!$D$14),INT(AX12*Steuern!$H$12-Steuern!$I$12),IF(AX12&gt;Steuern!$F$12,INT(AX12*Steuern!$H$14-Steuern!$I$14),0))))</f>
        <v>28733</v>
      </c>
      <c r="AZ12" s="241">
        <f t="shared" si="19"/>
        <v>92158.680382999199</v>
      </c>
      <c r="BA12" s="241">
        <f>IF(AND(AZ12&gt;Steuern!$D$6,AZ12&lt;Steuern!$D$10),INT((Steuern!P15*(AZ12-Steuern!$D$8)/10000+Steuern!$I$8)*(AZ12-Steuern!$D$6)/10000),IF(AND(AZ12&gt;Steuern!$F$8,AZ12&lt;Steuern!$D$12),INT((Steuern!$H$10*(AZ12-Steuern!$F$8)/10000+Steuern!$I$10)*(AZ12-Steuern!$F$8)/10000+Steuern!$J$10),IF(AND(AZ12&gt;Steuern!$F$10,AZ12&lt;Steuern!$D$14),INT(AZ12*Steuern!$H$12-Steuern!$I$12),IF(AZ12&gt;Steuern!$F$12,INT(AZ12*Steuern!$H$14-Steuern!$I$14),0))))</f>
        <v>28733</v>
      </c>
      <c r="BB12" s="241">
        <f t="shared" ref="BB12:BC12" si="88">AC12-AO12</f>
        <v>578</v>
      </c>
      <c r="BC12" s="241">
        <f t="shared" si="88"/>
        <v>486</v>
      </c>
      <c r="BD12" s="241">
        <f t="shared" si="21"/>
        <v>578</v>
      </c>
      <c r="BE12" s="241">
        <f t="shared" si="22"/>
        <v>578</v>
      </c>
      <c r="BF12" s="241">
        <f t="shared" ref="BF12:BG12" si="89">AC12-AV12</f>
        <v>-111</v>
      </c>
      <c r="BG12" s="241">
        <f t="shared" si="89"/>
        <v>-94</v>
      </c>
      <c r="BH12" s="241">
        <f t="shared" si="24"/>
        <v>-111</v>
      </c>
      <c r="BI12" s="241">
        <f t="shared" si="25"/>
        <v>-111</v>
      </c>
      <c r="BJ12" s="241">
        <f t="shared" si="26"/>
        <v>-2531.8070992101748</v>
      </c>
      <c r="BK12" s="241">
        <f t="shared" si="27"/>
        <v>-2623.8070992101748</v>
      </c>
      <c r="BL12" s="241">
        <f t="shared" si="28"/>
        <v>-2531.8070992101748</v>
      </c>
      <c r="BM12" s="241">
        <f t="shared" si="29"/>
        <v>-2531.8070992101748</v>
      </c>
      <c r="BN12" s="241">
        <f t="shared" si="30"/>
        <v>-2531.8070992101748</v>
      </c>
      <c r="BO12" s="241">
        <f t="shared" si="31"/>
        <v>-44783.162059718903</v>
      </c>
      <c r="BP12" s="241">
        <f t="shared" si="32"/>
        <v>-2623.8070992101748</v>
      </c>
      <c r="BQ12" s="241">
        <f t="shared" si="33"/>
        <v>-46469.162059718903</v>
      </c>
      <c r="BR12" s="241">
        <f t="shared" si="34"/>
        <v>-2531.8070992101748</v>
      </c>
      <c r="BS12" s="241">
        <f t="shared" si="35"/>
        <v>-44783.162059718903</v>
      </c>
      <c r="BT12" s="241">
        <f t="shared" si="36"/>
        <v>-2531.8070992101748</v>
      </c>
      <c r="BU12" s="241">
        <f t="shared" si="37"/>
        <v>-44783.162059718903</v>
      </c>
      <c r="BV12" s="241">
        <f t="shared" si="38"/>
        <v>-1580.483965807005</v>
      </c>
      <c r="BW12" s="241">
        <f t="shared" si="39"/>
        <v>-1563.483965807005</v>
      </c>
      <c r="BX12" s="241">
        <f t="shared" si="40"/>
        <v>-1580.483965807005</v>
      </c>
      <c r="BY12" s="241">
        <f t="shared" si="41"/>
        <v>-1580.483965807005</v>
      </c>
      <c r="BZ12" s="241">
        <f t="shared" si="42"/>
        <v>-1580.483965807005</v>
      </c>
      <c r="CA12" s="241">
        <f t="shared" si="43"/>
        <v>-37672.682256157153</v>
      </c>
      <c r="CB12" s="241">
        <f t="shared" si="44"/>
        <v>-1563.483965807005</v>
      </c>
      <c r="CC12" s="241">
        <f t="shared" si="45"/>
        <v>-38384.682256157153</v>
      </c>
      <c r="CD12" s="241">
        <f t="shared" si="46"/>
        <v>-1580.483965807005</v>
      </c>
      <c r="CE12" s="241">
        <f t="shared" si="47"/>
        <v>-37672.682256157153</v>
      </c>
      <c r="CF12" s="241">
        <f t="shared" si="48"/>
        <v>-1580.483965807005</v>
      </c>
      <c r="CG12" s="241">
        <f t="shared" si="49"/>
        <v>-37672.682256157153</v>
      </c>
      <c r="CI12" s="249">
        <f t="shared" ca="1" si="64"/>
        <v>48458</v>
      </c>
      <c r="CJ12" s="241">
        <f t="shared" si="50"/>
        <v>-2531.8070992101748</v>
      </c>
      <c r="CK12" s="241">
        <f t="shared" si="51"/>
        <v>-2531.8070992101748</v>
      </c>
      <c r="CL12" s="241">
        <f t="shared" si="52"/>
        <v>-2531.8070992101748</v>
      </c>
      <c r="CM12" s="241">
        <f t="shared" si="53"/>
        <v>-2531.8070992101748</v>
      </c>
      <c r="CN12" s="241">
        <f t="shared" si="54"/>
        <v>-2531.8070992101748</v>
      </c>
      <c r="CO12" s="241"/>
      <c r="CP12" s="241"/>
      <c r="CQ12" s="241"/>
      <c r="CR12" s="241"/>
      <c r="CS12" s="241"/>
      <c r="CT12" s="241"/>
      <c r="CU12" s="241"/>
      <c r="CV12" s="241"/>
      <c r="CW12" s="241"/>
      <c r="CX12" s="241"/>
      <c r="CY12" s="241"/>
      <c r="CZ12" s="241"/>
      <c r="DA12" s="241">
        <f t="shared" si="55"/>
        <v>-1580.483965807005</v>
      </c>
      <c r="DB12" s="241">
        <f t="shared" si="56"/>
        <v>-1580.483965807005</v>
      </c>
      <c r="DC12" s="241">
        <f t="shared" si="57"/>
        <v>-1580.483965807005</v>
      </c>
      <c r="DD12" s="241">
        <f t="shared" si="58"/>
        <v>-1580.483965807005</v>
      </c>
      <c r="DE12" s="241">
        <f t="shared" si="59"/>
        <v>-1580.483965807005</v>
      </c>
      <c r="DF12" s="241"/>
      <c r="DG12" s="241"/>
      <c r="DH12" s="241"/>
      <c r="DI12" s="241"/>
      <c r="DJ12" s="241"/>
      <c r="DK12" s="241"/>
      <c r="DL12" s="241"/>
      <c r="DM12" s="241"/>
      <c r="DN12" s="241"/>
      <c r="DO12" s="241"/>
      <c r="DP12" s="241"/>
      <c r="DQ12" s="241"/>
      <c r="DR12" s="241"/>
      <c r="DS12" s="241">
        <f t="shared" si="3"/>
        <v>-1580.483965807005</v>
      </c>
    </row>
    <row r="13" spans="1:123" ht="15.6">
      <c r="A13" s="243">
        <v>9</v>
      </c>
      <c r="B13" s="244">
        <f>B12*(1+'Immobilie als Kapitalanlage'!$D$47)</f>
        <v>272327.63289840583</v>
      </c>
      <c r="C13" s="241">
        <f>$C$4*(1+'Immobilie als Kapitalanlage'!$D$47)^A13</f>
        <v>0</v>
      </c>
      <c r="D13" s="244">
        <f t="shared" si="69"/>
        <v>272327.63289840583</v>
      </c>
      <c r="E13" s="138"/>
      <c r="F13" s="245">
        <f>MAX(-FV('Immobilie als Kapitalanlage'!$D$26/12,A13*12,(-I13/12),'Immobilie als Kapitalanlage'!$C$25,0),0)</f>
        <v>209555.06908776122</v>
      </c>
      <c r="G13" s="245">
        <f>IF(I13-H13&gt;G12,F12*'Immobilie als Kapitalanlage'!$D$26,I13-H13)</f>
        <v>7430.104409872205</v>
      </c>
      <c r="H13" s="241">
        <f t="shared" si="4"/>
        <v>5019.895590127795</v>
      </c>
      <c r="I13" s="241">
        <f>$F$4*('Immobilie als Kapitalanlage'!$D$26+'Immobilie als Kapitalanlage'!$D$36)</f>
        <v>12450</v>
      </c>
      <c r="J13" s="246">
        <f t="shared" ref="J13:M13" si="90">F13</f>
        <v>209555.06908776122</v>
      </c>
      <c r="K13" s="246">
        <f t="shared" si="90"/>
        <v>7430.104409872205</v>
      </c>
      <c r="L13" s="246">
        <f t="shared" si="90"/>
        <v>5019.895590127795</v>
      </c>
      <c r="M13" s="246">
        <f t="shared" si="90"/>
        <v>12450</v>
      </c>
      <c r="N13" s="246">
        <f t="shared" ref="N13:Q13" si="91">F13</f>
        <v>209555.06908776122</v>
      </c>
      <c r="O13" s="246">
        <f t="shared" si="91"/>
        <v>7430.104409872205</v>
      </c>
      <c r="P13" s="246">
        <f t="shared" si="91"/>
        <v>5019.895590127795</v>
      </c>
      <c r="Q13" s="246">
        <f t="shared" si="91"/>
        <v>12450</v>
      </c>
      <c r="R13" s="250">
        <f t="shared" si="6"/>
        <v>-1706.8733862441004</v>
      </c>
      <c r="S13" s="250">
        <f>'Immobilie als Kapitalanlage'!$C$27*12*(1+'Immobilie als Kapitalanlage'!$D$44)^A12</f>
        <v>-286.8222164693546</v>
      </c>
      <c r="T13" s="250">
        <f>'Immobilie als Kapitalanlage'!$C$29*12*(1+'Immobilie als Kapitalanlage'!$D$44)^A12</f>
        <v>-998.25379261393027</v>
      </c>
      <c r="U13" s="250">
        <f>'Immobilie als Kapitalanlage'!$C$30*12*(1+'Immobilie als Kapitalanlage'!$D$44)^A12</f>
        <v>-421.79737716081559</v>
      </c>
      <c r="V13" s="250">
        <f>'Immobilie als Kapitalanlage'!$C$28*12*(1+'Immobilie als Kapitalanlage'!$D$44)^A12</f>
        <v>-717.05554117338647</v>
      </c>
      <c r="W13" s="241">
        <f>$W$5*(1+'Immobilie als Kapitalanlage'!$D$43)^A12</f>
        <v>11950.925686223109</v>
      </c>
      <c r="X13" s="241">
        <f>$X$5*(1+'Immobilie als Kapitalanlage'!$D$43)^A12</f>
        <v>13624.055282294341</v>
      </c>
      <c r="Y13" s="241">
        <f>-'Immobilie als Kapitalanlage'!$C$25*'Immobilie als Kapitalanlage'!$D$99</f>
        <v>0</v>
      </c>
      <c r="Z13" s="241">
        <f t="shared" si="7"/>
        <v>0</v>
      </c>
      <c r="AA13" s="241">
        <f>FV((((1+'Immobilie als Kapitalanlage'!$D$80)^(1/12)-1)),A13*12,Y13/12,-'Immobilie als Kapitalanlage'!$G$95,)</f>
        <v>0</v>
      </c>
      <c r="AB13" s="241">
        <f>$AB$5*(1+'Immobilie als Kapitalanlage'!$D$51)^A12</f>
        <v>93732.750480181247</v>
      </c>
      <c r="AC13" s="241">
        <f>IF(AND(AB13&gt;Steuern!$D$6,AB13&lt;Steuern!$D$10),INT((Steuern!$H$8*(AB13-Steuern!$D$6)/10000+Steuern!$I$8)*(AB13-Steuern!$D$6)/10000),IF(AND(AB13&gt;Steuern!$F$8,AB13&lt;Steuern!$D$12),INT((Steuern!$H$10*(AB13-Steuern!$F$8)/10000+Steuern!$I$10)*(AB13-Steuern!$F$8)/10000+Steuern!$J$10),IF(AND(AB13&gt;Steuern!$F$10,AB13&lt;Steuern!$D$14),INT(AB13*Steuern!$H$12-Steuern!$I$12),IF(AB13&gt;Steuern!$F$12,INT(AB13*Steuern!$H$14-Steuern!$I$14),0))))</f>
        <v>29394</v>
      </c>
      <c r="AD13" s="241">
        <f>IF(AND(AB13/2&gt;Steuern!$D$6,AB13/2&lt;Steuern!$D$10),INT((Steuern!$H$8*(AB13/2-Steuern!$D$8)/10000+Steuern!$I$8)*(AB13/2-Steuern!$D$6)/10000),IF(AND(AB13/2&gt;Steuern!$F$8,AB13/2&lt;Steuern!$D$12),INT((Steuern!$H$10*(AB13/2-Steuern!$F$8)/10000+Steuern!$I$10)*(AB13/2-Steuern!$F$8)/10000+Steuern!$J$10),IF(AND(AB13/2&gt;Steuern!$F$10,AB13/2&lt;Steuern!$D$14),INT(AB13/2*Steuern!$H$12-Steuern!$I$12),IF(AB13/2&gt;Steuern!$F$12,INT(AB13/2*Steuern!$H$14-Steuern!$I$14),0))))*2</f>
        <v>20400</v>
      </c>
      <c r="AE13" s="241">
        <f t="shared" si="8"/>
        <v>2813.9478901068032</v>
      </c>
      <c r="AF13" s="241">
        <f t="shared" si="9"/>
        <v>2813.9478901068032</v>
      </c>
      <c r="AG13" s="241">
        <f t="shared" si="10"/>
        <v>2813.9478901068032</v>
      </c>
      <c r="AH13" s="241">
        <f t="shared" si="11"/>
        <v>4487.0774861780355</v>
      </c>
      <c r="AI13" s="241">
        <f t="shared" si="12"/>
        <v>4487.0774861780355</v>
      </c>
      <c r="AJ13" s="241">
        <f t="shared" si="13"/>
        <v>4487.0774861780355</v>
      </c>
      <c r="AK13" s="248"/>
      <c r="AL13" s="241">
        <f>('Immobilie als Kapitalanlage'!$C$16+'Immobilie als Kapitalanlage'!$C$20+'Immobilie als Kapitalanlage'!$C$15)*(1-'Immobilie als Kapitalanlage'!$D$53)</f>
        <v>190858.5</v>
      </c>
      <c r="AM13" s="241">
        <f>AL13*'Immobilie als Kapitalanlage'!$D$52</f>
        <v>3817.17</v>
      </c>
      <c r="AN13" s="241">
        <f t="shared" si="14"/>
        <v>92729.528370288055</v>
      </c>
      <c r="AO13" s="241">
        <f>IF(AND(AN13&gt;Steuern!$D$6,AN13&lt;Steuern!$D$10),INT((Steuern!H16*(AN13-Steuern!$D$8)/10000+Steuern!$I$8)*(AN13-Steuern!$D$6)/10000),IF(AND(AN13&gt;Steuern!$F$8,AN13&lt;Steuern!$D$12),INT((Steuern!$H$10*(AN13-Steuern!$F$8)/10000+Steuern!$I$10)*(AN13-Steuern!$F$8)/10000+Steuern!$J$10),IF(AND(AN13&gt;Steuern!$F$10,AN13&lt;Steuern!$D$14),INT(AN13*Steuern!$H$12-Steuern!$I$12),IF(AN13&gt;Steuern!$F$12,INT(AN13*Steuern!$H$14-Steuern!$I$14),0))))</f>
        <v>28973</v>
      </c>
      <c r="AP13" s="241">
        <f>IF(AND(AN13/2&gt;Steuern!$D$6,AN13/2&lt;Steuern!$D$10),INT((Steuern!$H$8*(AN13/2-Steuern!$D$8)/10000+Steuern!$I$8)*(AN13/2-Steuern!$D$6)/10000),IF(AND(AN13/2&gt;Steuern!$F$8,AN13/2&lt;Steuern!$D$12),INT((Steuern!$H$10*(AN13/2-Steuern!$F$8)/10000+Steuern!$I$10)*(AN13/2-Steuern!$F$8)/10000+Steuern!$J$10),IF(AND(AN13/2&gt;Steuern!$F$10,AN13/2&lt;Steuern!$D$14),INT(AN13/2*Steuern!$H$12-Steuern!$I$12),IF(AN13/2&gt;Steuern!$F$12,INT(AN13/2*Steuern!$H$14-Steuern!$I$14),0))))*2</f>
        <v>20042</v>
      </c>
      <c r="AQ13" s="241">
        <f t="shared" si="15"/>
        <v>92729.528370288055</v>
      </c>
      <c r="AR13" s="241">
        <f>IF(AND(AQ13&gt;Steuern!$D$6,AQ13&lt;Steuern!$D$10),INT((Steuern!$H$8*(AQ13-Steuern!$D$6)/10000+Steuern!$I$8)*(AQ13-Steuern!$D$6)/10000),IF(AND(AQ13&gt;Steuern!$F$8,AQ13&lt;Steuern!$D$12),INT((Steuern!$H$10*(AQ13-Steuern!$F$8)/10000+Steuern!$I$10)*(AQ13-Steuern!$F$8)/10000+Steuern!$J$10),IF(AND(AQ13&gt;Steuern!$F$10,AQ13&lt;Steuern!$D$14),INT(AQ13*Steuern!$H$12-Steuern!$I$12),IF(AQ13&gt;Steuern!$F$12,INT(AQ13*Steuern!$H$14-Steuern!$I$14),0))))</f>
        <v>28973</v>
      </c>
      <c r="AS13" s="241">
        <f t="shared" si="16"/>
        <v>92729.528370288055</v>
      </c>
      <c r="AT13" s="241">
        <f>IF(AND(AS13&gt;Steuern!$D$6,AS13&lt;Steuern!$D$10),INT((Steuern!$H$8*(AS13-Steuern!$D$6)/10000+Steuern!$I$8)*(AS13-Steuern!$D$6)/10000),IF(AND(AS13&gt;Steuern!$F$8,AS13&lt;Steuern!$D$12),INT((Steuern!$H$10*(AS13-Steuern!$F$8)/10000+Steuern!$I$10)*(AS13-Steuern!$F$8)/10000+Steuern!$J$10),IF(AND(AS13&gt;Steuern!$F$10,AS13&lt;Steuern!$D$14),INT(AS13*Steuern!$H$12-Steuern!$I$12),IF(AS13&gt;Steuern!$F$12,INT(AS13*Steuern!$H$14-Steuern!$I$14),0))))</f>
        <v>28973</v>
      </c>
      <c r="AU13" s="241">
        <f t="shared" si="17"/>
        <v>94402.657966359286</v>
      </c>
      <c r="AV13" s="241">
        <f>IF(AND(AU13&gt;Steuern!$D$6,AU13&lt;Steuern!$D$10),INT((Steuern!$H$8*(AU13-Steuern!$D$6)/10000+Steuern!$I$8)*(AU13-Steuern!$D$6)/10000),IF(AND(AU13&gt;Steuern!$F$8,AU13&lt;Steuern!$D$12),INT((Steuern!$H$10*(AU13-Steuern!$F$8)/10000+Steuern!$I$10)*(AU13-Steuern!$F$8)/10000+Steuern!$J$10),IF(AND(AU13&gt;Steuern!$F$10,AU13&lt;Steuern!$D$14),INT(AU13*Steuern!$H$12-Steuern!$I$12),IF(AU13&gt;Steuern!$F$12,INT(AU13*Steuern!$H$14-Steuern!$I$14),0))))</f>
        <v>29676</v>
      </c>
      <c r="AW13" s="241">
        <f>IF(AND(AU13/2&gt;Steuern!$D$6,AU13/2&lt;Steuern!$D$10),INT((Steuern!$H$8*(AU13/2-Steuern!$D$8)/10000+Steuern!$I$8)*(AU13/2-Steuern!$D$6)/10000),IF(AND(AU13/2&gt;Steuern!$F$8,AU13/2&lt;Steuern!$D$12),INT((Steuern!$H$10*(AU13/2-Steuern!$F$8)/10000+Steuern!$I$10)*(AU13/2-Steuern!$F$8)/10000+Steuern!$J$10),IF(AND(AU13/2&gt;Steuern!$F$10,AU13/2&lt;Steuern!$D$14),INT(AU13/2*Steuern!$H$12-Steuern!$I$12),IF(AU13/2&gt;Steuern!$F$12,INT(AU13/2*Steuern!$H$14-Steuern!$I$14),0))))*2</f>
        <v>20640</v>
      </c>
      <c r="AX13" s="241">
        <f t="shared" si="18"/>
        <v>94402.657966359286</v>
      </c>
      <c r="AY13" s="241">
        <f>IF(AND(AX13&gt;Steuern!$D$6,AX13&lt;Steuern!$D$10),INT((Steuern!N16*(AX13-Steuern!$D$8)/10000+Steuern!$I$8)*(AX13-Steuern!$D$6)/10000),IF(AND(AX13&gt;Steuern!$F$8,AX13&lt;Steuern!$D$12),INT((Steuern!$H$10*(AX13-Steuern!$F$8)/10000+Steuern!$I$10)*(AX13-Steuern!$F$8)/10000+Steuern!$J$10),IF(AND(AX13&gt;Steuern!$F$10,AX13&lt;Steuern!$D$14),INT(AX13*Steuern!$H$12-Steuern!$I$12),IF(AX13&gt;Steuern!$F$12,INT(AX13*Steuern!$H$14-Steuern!$I$14),0))))</f>
        <v>29676</v>
      </c>
      <c r="AZ13" s="241">
        <f t="shared" si="19"/>
        <v>94402.657966359286</v>
      </c>
      <c r="BA13" s="241">
        <f>IF(AND(AZ13&gt;Steuern!$D$6,AZ13&lt;Steuern!$D$10),INT((Steuern!P16*(AZ13-Steuern!$D$8)/10000+Steuern!$I$8)*(AZ13-Steuern!$D$6)/10000),IF(AND(AZ13&gt;Steuern!$F$8,AZ13&lt;Steuern!$D$12),INT((Steuern!$H$10*(AZ13-Steuern!$F$8)/10000+Steuern!$I$10)*(AZ13-Steuern!$F$8)/10000+Steuern!$J$10),IF(AND(AZ13&gt;Steuern!$F$10,AZ13&lt;Steuern!$D$14),INT(AZ13*Steuern!$H$12-Steuern!$I$12),IF(AZ13&gt;Steuern!$F$12,INT(AZ13*Steuern!$H$14-Steuern!$I$14),0))))</f>
        <v>29676</v>
      </c>
      <c r="BB13" s="241">
        <f t="shared" ref="BB13:BC13" si="92">AC13-AO13</f>
        <v>421</v>
      </c>
      <c r="BC13" s="241">
        <f t="shared" si="92"/>
        <v>358</v>
      </c>
      <c r="BD13" s="241">
        <f t="shared" si="21"/>
        <v>421</v>
      </c>
      <c r="BE13" s="241">
        <f t="shared" si="22"/>
        <v>421</v>
      </c>
      <c r="BF13" s="241">
        <f t="shared" ref="BF13:BG13" si="93">AC13-AV13</f>
        <v>-282</v>
      </c>
      <c r="BG13" s="241">
        <f t="shared" si="93"/>
        <v>-240</v>
      </c>
      <c r="BH13" s="241">
        <f t="shared" si="24"/>
        <v>-282</v>
      </c>
      <c r="BI13" s="241">
        <f t="shared" si="25"/>
        <v>-282</v>
      </c>
      <c r="BJ13" s="241">
        <f t="shared" si="26"/>
        <v>-2502.0032411943776</v>
      </c>
      <c r="BK13" s="241">
        <f t="shared" si="27"/>
        <v>-2565.0032411943776</v>
      </c>
      <c r="BL13" s="241">
        <f t="shared" si="28"/>
        <v>-2502.0032411943776</v>
      </c>
      <c r="BM13" s="241">
        <f t="shared" si="29"/>
        <v>-2502.0032411943776</v>
      </c>
      <c r="BN13" s="241">
        <f t="shared" si="30"/>
        <v>-2502.0032411943776</v>
      </c>
      <c r="BO13" s="241">
        <f t="shared" si="31"/>
        <v>-47285.165300913279</v>
      </c>
      <c r="BP13" s="241">
        <f t="shared" si="32"/>
        <v>-2565.0032411943776</v>
      </c>
      <c r="BQ13" s="241">
        <f t="shared" si="33"/>
        <v>-49034.165300913279</v>
      </c>
      <c r="BR13" s="241">
        <f t="shared" si="34"/>
        <v>-2502.0032411943776</v>
      </c>
      <c r="BS13" s="241">
        <f t="shared" si="35"/>
        <v>-47285.165300913279</v>
      </c>
      <c r="BT13" s="241">
        <f t="shared" si="36"/>
        <v>-2502.0032411943776</v>
      </c>
      <c r="BU13" s="241">
        <f t="shared" si="37"/>
        <v>-47285.165300913279</v>
      </c>
      <c r="BV13" s="241">
        <f t="shared" si="38"/>
        <v>-1531.8736451231453</v>
      </c>
      <c r="BW13" s="241">
        <f t="shared" si="39"/>
        <v>-1489.8736451231453</v>
      </c>
      <c r="BX13" s="241">
        <f t="shared" si="40"/>
        <v>-1531.8736451231453</v>
      </c>
      <c r="BY13" s="241">
        <f t="shared" si="41"/>
        <v>-1531.8736451231453</v>
      </c>
      <c r="BZ13" s="241">
        <f t="shared" si="42"/>
        <v>-1531.8736451231453</v>
      </c>
      <c r="CA13" s="241">
        <f t="shared" si="43"/>
        <v>-39204.555901280299</v>
      </c>
      <c r="CB13" s="241">
        <f t="shared" si="44"/>
        <v>-1489.8736451231453</v>
      </c>
      <c r="CC13" s="241">
        <f t="shared" si="45"/>
        <v>-39874.555901280299</v>
      </c>
      <c r="CD13" s="241">
        <f t="shared" si="46"/>
        <v>-1531.8736451231453</v>
      </c>
      <c r="CE13" s="241">
        <f t="shared" si="47"/>
        <v>-39204.555901280299</v>
      </c>
      <c r="CF13" s="241">
        <f t="shared" si="48"/>
        <v>-1531.8736451231453</v>
      </c>
      <c r="CG13" s="241">
        <f t="shared" si="49"/>
        <v>-39204.555901280299</v>
      </c>
      <c r="CI13" s="249">
        <f t="shared" ca="1" si="64"/>
        <v>48823</v>
      </c>
      <c r="CJ13" s="241">
        <f t="shared" si="50"/>
        <v>-2502.0032411943776</v>
      </c>
      <c r="CK13" s="241">
        <f t="shared" si="51"/>
        <v>-2502.0032411943776</v>
      </c>
      <c r="CL13" s="241">
        <f t="shared" si="52"/>
        <v>-2502.0032411943776</v>
      </c>
      <c r="CM13" s="241">
        <f t="shared" si="53"/>
        <v>-2502.0032411943776</v>
      </c>
      <c r="CN13" s="241">
        <f t="shared" si="54"/>
        <v>-2502.0032411943776</v>
      </c>
      <c r="CO13" s="241"/>
      <c r="CP13" s="241"/>
      <c r="CQ13" s="241"/>
      <c r="CR13" s="241"/>
      <c r="CS13" s="241"/>
      <c r="CT13" s="241"/>
      <c r="CU13" s="241"/>
      <c r="CV13" s="241"/>
      <c r="CW13" s="241"/>
      <c r="CX13" s="241"/>
      <c r="CY13" s="241"/>
      <c r="CZ13" s="241"/>
      <c r="DA13" s="241">
        <f t="shared" si="55"/>
        <v>-1531.8736451231453</v>
      </c>
      <c r="DB13" s="241">
        <f t="shared" si="56"/>
        <v>-1531.8736451231453</v>
      </c>
      <c r="DC13" s="241">
        <f t="shared" si="57"/>
        <v>-1531.8736451231453</v>
      </c>
      <c r="DD13" s="241">
        <f t="shared" si="58"/>
        <v>-1531.8736451231453</v>
      </c>
      <c r="DE13" s="241">
        <f t="shared" si="59"/>
        <v>-1531.8736451231453</v>
      </c>
      <c r="DF13" s="241"/>
      <c r="DG13" s="241"/>
      <c r="DH13" s="241"/>
      <c r="DI13" s="241"/>
      <c r="DJ13" s="241"/>
      <c r="DK13" s="241"/>
      <c r="DL13" s="241"/>
      <c r="DM13" s="241"/>
      <c r="DN13" s="241"/>
      <c r="DO13" s="241"/>
      <c r="DP13" s="241"/>
      <c r="DQ13" s="241"/>
      <c r="DR13" s="241"/>
      <c r="DS13" s="241">
        <f t="shared" si="3"/>
        <v>-1531.8736451231453</v>
      </c>
    </row>
    <row r="14" spans="1:123" ht="14.25" customHeight="1">
      <c r="A14" s="233">
        <v>10</v>
      </c>
      <c r="B14" s="234">
        <f>B13*(1+'Immobilie als Kapitalanlage'!$D$47)</f>
        <v>275050.9092273899</v>
      </c>
      <c r="C14" s="235">
        <f>$C$4*(1+'Immobilie als Kapitalanlage'!$D$47)^A14</f>
        <v>0</v>
      </c>
      <c r="D14" s="234">
        <f t="shared" si="69"/>
        <v>275050.9092273899</v>
      </c>
      <c r="E14" s="251"/>
      <c r="F14" s="252">
        <f>MAX(-FV('Immobilie als Kapitalanlage'!$D$26/12,A14*12,(-I14/12),'Immobilie als Kapitalanlage'!$C$25,0),0)</f>
        <v>204356.63110738579</v>
      </c>
      <c r="G14" s="253">
        <f>IF(I14-H14&gt;G13,F13*'Immobilie als Kapitalanlage'!$D$26,I14-H14)</f>
        <v>7251.5620196245727</v>
      </c>
      <c r="H14" s="235">
        <f t="shared" si="4"/>
        <v>5198.4379803754273</v>
      </c>
      <c r="I14" s="235">
        <f>$F$4*('Immobilie als Kapitalanlage'!$D$26+'Immobilie als Kapitalanlage'!$D$36)</f>
        <v>12450</v>
      </c>
      <c r="J14" s="235">
        <f t="shared" ref="J14:M14" si="94">F14</f>
        <v>204356.63110738579</v>
      </c>
      <c r="K14" s="235">
        <f t="shared" si="94"/>
        <v>7251.5620196245727</v>
      </c>
      <c r="L14" s="235">
        <f t="shared" si="94"/>
        <v>5198.4379803754273</v>
      </c>
      <c r="M14" s="235">
        <f t="shared" si="94"/>
        <v>12450</v>
      </c>
      <c r="N14" s="247">
        <f t="shared" ref="N14:Q14" si="95">F14</f>
        <v>204356.63110738579</v>
      </c>
      <c r="O14" s="235">
        <f t="shared" si="95"/>
        <v>7251.5620196245727</v>
      </c>
      <c r="P14" s="235">
        <f t="shared" si="95"/>
        <v>5198.4379803754273</v>
      </c>
      <c r="Q14" s="235">
        <f t="shared" si="95"/>
        <v>12450</v>
      </c>
      <c r="R14" s="237">
        <f t="shared" si="6"/>
        <v>-1741.0108539689825</v>
      </c>
      <c r="S14" s="237">
        <f>'Immobilie als Kapitalanlage'!$C$27*12*(1+'Immobilie als Kapitalanlage'!$D$44)^A13</f>
        <v>-292.5586607987417</v>
      </c>
      <c r="T14" s="237">
        <f>'Immobilie als Kapitalanlage'!$C$29*12*(1+'Immobilie als Kapitalanlage'!$D$44)^A13</f>
        <v>-1018.2188684662088</v>
      </c>
      <c r="U14" s="237">
        <f>'Immobilie als Kapitalanlage'!$C$30*12*(1+'Immobilie als Kapitalanlage'!$D$44)^A13</f>
        <v>-430.23332470403193</v>
      </c>
      <c r="V14" s="237">
        <f>'Immobilie als Kapitalanlage'!$C$28*12*(1+'Immobilie als Kapitalanlage'!$D$44)^A13</f>
        <v>-731.39665199685419</v>
      </c>
      <c r="W14" s="235">
        <f>$W$5*(1+'Immobilie als Kapitalanlage'!$D$43)^A13</f>
        <v>12189.944199947571</v>
      </c>
      <c r="X14" s="235">
        <f>$X$5*(1+'Immobilie als Kapitalanlage'!$D$43)^A13</f>
        <v>13896.536387940228</v>
      </c>
      <c r="Y14" s="235">
        <f>-'Immobilie als Kapitalanlage'!$C$25*'Immobilie als Kapitalanlage'!$D$99</f>
        <v>0</v>
      </c>
      <c r="Z14" s="235">
        <f t="shared" si="7"/>
        <v>0</v>
      </c>
      <c r="AA14" s="235">
        <f>FV((((1+'Immobilie als Kapitalanlage'!$D$80)^(1/12)-1)),A14*12,Y14/12,-'Immobilie als Kapitalanlage'!$G$95,)</f>
        <v>0</v>
      </c>
      <c r="AB14" s="235">
        <f>$AB$5*(1+'Immobilie als Kapitalanlage'!$D$51)^A13</f>
        <v>95607.405489784869</v>
      </c>
      <c r="AC14" s="235">
        <f>IF(AND(AB14&gt;Steuern!$D$6,AB14&lt;Steuern!$D$10),INT((Steuern!$H$8*(AB14-Steuern!$D$6)/10000+Steuern!$I$8)*(AB14-Steuern!$D$6)/10000),IF(AND(AB14&gt;Steuern!$F$8,AB14&lt;Steuern!$D$12),INT((Steuern!$H$10*(AB14-Steuern!$F$8)/10000+Steuern!$I$10)*(AB14-Steuern!$F$8)/10000+Steuern!$J$10),IF(AND(AB14&gt;Steuern!$F$10,AB14&lt;Steuern!$D$14),INT(AB14*Steuern!$H$12-Steuern!$I$12),IF(AB14&gt;Steuern!$F$12,INT(AB14*Steuern!$H$14-Steuern!$I$14),0))))</f>
        <v>30182</v>
      </c>
      <c r="AD14" s="235">
        <f>IF(AND(AB14/2&gt;Steuern!$D$6,AB14/2&lt;Steuern!$D$10),INT((Steuern!$H$8*(AB14/2-Steuern!$D$8)/10000+Steuern!$I$8)*(AB14/2-Steuern!$D$6)/10000),IF(AND(AB14/2&gt;Steuern!$F$8,AB14/2&lt;Steuern!$D$12),INT((Steuern!$H$10*(AB14/2-Steuern!$F$8)/10000+Steuern!$I$10)*(AB14/2-Steuern!$F$8)/10000+Steuern!$J$10),IF(AND(AB14/2&gt;Steuern!$F$10,AB14/2&lt;Steuern!$D$14),INT(AB14/2*Steuern!$H$12-Steuern!$I$12),IF(AB14/2&gt;Steuern!$F$12,INT(AB14/2*Steuern!$H$14-Steuern!$I$14),0))))*2</f>
        <v>21076</v>
      </c>
      <c r="AE14" s="235">
        <f t="shared" si="8"/>
        <v>3197.3713263540158</v>
      </c>
      <c r="AF14" s="235">
        <f t="shared" si="9"/>
        <v>3197.3713263540158</v>
      </c>
      <c r="AG14" s="235">
        <f t="shared" si="10"/>
        <v>3197.3713263540158</v>
      </c>
      <c r="AH14" s="235">
        <f t="shared" si="11"/>
        <v>4903.963514346673</v>
      </c>
      <c r="AI14" s="235">
        <f t="shared" si="12"/>
        <v>4903.963514346673</v>
      </c>
      <c r="AJ14" s="235">
        <f t="shared" si="13"/>
        <v>4903.963514346673</v>
      </c>
      <c r="AK14" s="254"/>
      <c r="AL14" s="235">
        <f>('Immobilie als Kapitalanlage'!$C$16+'Immobilie als Kapitalanlage'!$C$20+'Immobilie als Kapitalanlage'!$C$15)*(1-'Immobilie als Kapitalanlage'!$D$53)</f>
        <v>190858.5</v>
      </c>
      <c r="AM14" s="235">
        <f>AL14*'Immobilie als Kapitalanlage'!$D$52</f>
        <v>3817.17</v>
      </c>
      <c r="AN14" s="235">
        <f t="shared" si="14"/>
        <v>94987.606816138883</v>
      </c>
      <c r="AO14" s="235">
        <f>IF(AND(AN14&gt;Steuern!$D$6,AN14&lt;Steuern!$D$10),INT((#REF!*(AN14-Steuern!$D$8)/10000+Steuern!$I$8)*(AN14-Steuern!$D$6)/10000),IF(AND(AN14&gt;Steuern!$F$8,AN14&lt;Steuern!$D$12),INT((Steuern!$H$10*(AN14-Steuern!$F$8)/10000+Steuern!$I$10)*(AN14-Steuern!$F$8)/10000+Steuern!$J$10),IF(AND(AN14&gt;Steuern!$F$10,AN14&lt;Steuern!$D$14),INT(AN14*Steuern!$H$12-Steuern!$I$12),IF(AN14&gt;Steuern!$F$12,INT(AN14*Steuern!$H$14-Steuern!$I$14),0))))</f>
        <v>29921</v>
      </c>
      <c r="AP14" s="235">
        <f>IF(AND(AN14/2&gt;Steuern!$D$6,AN14/2&lt;Steuern!$D$10),INT((Steuern!$H$8*(AN14/2-Steuern!$D$8)/10000+Steuern!$I$8)*(AN14/2-Steuern!$D$6)/10000),IF(AND(AN14/2&gt;Steuern!$F$8,AN14/2&lt;Steuern!$D$12),INT((Steuern!$H$10*(AN14/2-Steuern!$F$8)/10000+Steuern!$I$10)*(AN14/2-Steuern!$F$8)/10000+Steuern!$J$10),IF(AND(AN14/2&gt;Steuern!$F$10,AN14/2&lt;Steuern!$D$14),INT(AN14/2*Steuern!$H$12-Steuern!$I$12),IF(AN14/2&gt;Steuern!$F$12,INT(AN14/2*Steuern!$H$14-Steuern!$I$14),0))))*2</f>
        <v>20852</v>
      </c>
      <c r="AQ14" s="235">
        <f t="shared" si="15"/>
        <v>94987.606816138883</v>
      </c>
      <c r="AR14" s="235">
        <f>IF(AND(AQ14&gt;Steuern!$D$6,AQ14&lt;Steuern!$D$10),INT((Steuern!$H$8*(AQ14-Steuern!$D$6)/10000+Steuern!$I$8)*(AQ14-Steuern!$D$6)/10000),IF(AND(AQ14&gt;Steuern!$F$8,AQ14&lt;Steuern!$D$12),INT((Steuern!$H$10*(AQ14-Steuern!$F$8)/10000+Steuern!$I$10)*(AQ14-Steuern!$F$8)/10000+Steuern!$J$10),IF(AND(AQ14&gt;Steuern!$F$10,AQ14&lt;Steuern!$D$14),INT(AQ14*Steuern!$H$12-Steuern!$I$12),IF(AQ14&gt;Steuern!$F$12,INT(AQ14*Steuern!$H$14-Steuern!$I$14),0))))</f>
        <v>29921</v>
      </c>
      <c r="AS14" s="235">
        <f t="shared" si="16"/>
        <v>94987.606816138883</v>
      </c>
      <c r="AT14" s="235">
        <f>IF(AND(AS14&gt;Steuern!$D$6,AS14&lt;Steuern!$D$10),INT((Steuern!$H$8*(AS14-Steuern!$D$6)/10000+Steuern!$I$8)*(AS14-Steuern!$D$6)/10000),IF(AND(AS14&gt;Steuern!$F$8,AS14&lt;Steuern!$D$12),INT((Steuern!$H$10*(AS14-Steuern!$F$8)/10000+Steuern!$I$10)*(AS14-Steuern!$F$8)/10000+Steuern!$J$10),IF(AND(AS14&gt;Steuern!$F$10,AS14&lt;Steuern!$D$14),INT(AS14*Steuern!$H$12-Steuern!$I$12),IF(AS14&gt;Steuern!$F$12,INT(AS14*Steuern!$H$14-Steuern!$I$14),0))))</f>
        <v>29921</v>
      </c>
      <c r="AU14" s="235">
        <f t="shared" si="17"/>
        <v>96694.199004131544</v>
      </c>
      <c r="AV14" s="235">
        <f>IF(AND(AU14&gt;Steuern!$D$6,AU14&lt;Steuern!$D$10),INT((Steuern!$H$8*(AU14-Steuern!$D$6)/10000+Steuern!$I$8)*(AU14-Steuern!$D$6)/10000),IF(AND(AU14&gt;Steuern!$F$8,AU14&lt;Steuern!$D$12),INT((Steuern!$H$10*(AU14-Steuern!$F$8)/10000+Steuern!$I$10)*(AU14-Steuern!$F$8)/10000+Steuern!$J$10),IF(AND(AU14&gt;Steuern!$F$10,AU14&lt;Steuern!$D$14),INT(AU14*Steuern!$H$12-Steuern!$I$12),IF(AU14&gt;Steuern!$F$12,INT(AU14*Steuern!$H$14-Steuern!$I$14),0))))</f>
        <v>30638</v>
      </c>
      <c r="AW14" s="235">
        <f>IF(AND(AU14/2&gt;Steuern!$D$6,AU14/2&lt;Steuern!$D$10),INT((Steuern!$H$8*(AU14/2-Steuern!$D$8)/10000+Steuern!$I$8)*(AU14/2-Steuern!$D$6)/10000),IF(AND(AU14/2&gt;Steuern!$F$8,AU14/2&lt;Steuern!$D$12),INT((Steuern!$H$10*(AU14/2-Steuern!$F$8)/10000+Steuern!$I$10)*(AU14/2-Steuern!$F$8)/10000+Steuern!$J$10),IF(AND(AU14/2&gt;Steuern!$F$10,AU14/2&lt;Steuern!$D$14),INT(AU14/2*Steuern!$H$12-Steuern!$I$12),IF(AU14/2&gt;Steuern!$F$12,INT(AU14/2*Steuern!$H$14-Steuern!$I$14),0))))*2</f>
        <v>21470</v>
      </c>
      <c r="AX14" s="235">
        <f t="shared" si="18"/>
        <v>96694.199004131544</v>
      </c>
      <c r="AY14" s="235">
        <f>IF(AND(AX14&gt;Steuern!$D$6,AX14&lt;Steuern!$D$10),INT((#REF!*(AX14-Steuern!$D$8)/10000+Steuern!$I$8)*(AX14-Steuern!$D$6)/10000),IF(AND(AX14&gt;Steuern!$F$8,AX14&lt;Steuern!$D$12),INT((Steuern!$H$10*(AX14-Steuern!$F$8)/10000+Steuern!$I$10)*(AX14-Steuern!$F$8)/10000+Steuern!$J$10),IF(AND(AX14&gt;Steuern!$F$10,AX14&lt;Steuern!$D$14),INT(AX14*Steuern!$H$12-Steuern!$I$12),IF(AX14&gt;Steuern!$F$12,INT(AX14*Steuern!$H$14-Steuern!$I$14),0))))</f>
        <v>30638</v>
      </c>
      <c r="AZ14" s="235">
        <f t="shared" si="19"/>
        <v>96694.199004131544</v>
      </c>
      <c r="BA14" s="235">
        <f>IF(AND(AZ14&gt;Steuern!$D$6,AZ14&lt;Steuern!$D$10),INT((#REF!*(AZ14-Steuern!$D$8)/10000+Steuern!$I$8)*(AZ14-Steuern!$D$6)/10000),IF(AND(AZ14&gt;Steuern!$F$8,AZ14&lt;Steuern!$D$12),INT((Steuern!$H$10*(AZ14-Steuern!$F$8)/10000+Steuern!$I$10)*(AZ14-Steuern!$F$8)/10000+Steuern!$J$10),IF(AND(AZ14&gt;Steuern!$F$10,AZ14&lt;Steuern!$D$14),INT(AZ14*Steuern!$H$12-Steuern!$I$12),IF(AZ14&gt;Steuern!$F$12,INT(AZ14*Steuern!$H$14-Steuern!$I$14),0))))</f>
        <v>30638</v>
      </c>
      <c r="BB14" s="235">
        <f t="shared" ref="BB14:BC14" si="96">AC14-AO14</f>
        <v>261</v>
      </c>
      <c r="BC14" s="235">
        <f t="shared" si="96"/>
        <v>224</v>
      </c>
      <c r="BD14" s="235">
        <f t="shared" si="21"/>
        <v>261</v>
      </c>
      <c r="BE14" s="235">
        <f t="shared" si="22"/>
        <v>261</v>
      </c>
      <c r="BF14" s="235">
        <f t="shared" ref="BF14:BG14" si="97">AC14-AV14</f>
        <v>-456</v>
      </c>
      <c r="BG14" s="235">
        <f t="shared" si="97"/>
        <v>-394</v>
      </c>
      <c r="BH14" s="235">
        <f t="shared" si="24"/>
        <v>-456</v>
      </c>
      <c r="BI14" s="235">
        <f t="shared" si="25"/>
        <v>-456</v>
      </c>
      <c r="BJ14" s="241">
        <f t="shared" si="26"/>
        <v>-2471.4633060182659</v>
      </c>
      <c r="BK14" s="241">
        <f t="shared" si="27"/>
        <v>-2508.4633060182659</v>
      </c>
      <c r="BL14" s="241">
        <f t="shared" si="28"/>
        <v>-2471.4633060182659</v>
      </c>
      <c r="BM14" s="241">
        <f t="shared" si="29"/>
        <v>-2471.4633060182659</v>
      </c>
      <c r="BN14" s="241">
        <f t="shared" si="30"/>
        <v>-2471.4633060182659</v>
      </c>
      <c r="BO14" s="241">
        <f t="shared" si="31"/>
        <v>-49756.628606931547</v>
      </c>
      <c r="BP14" s="241">
        <f t="shared" si="32"/>
        <v>-2508.4633060182659</v>
      </c>
      <c r="BQ14" s="241">
        <f t="shared" si="33"/>
        <v>-51542.628606931547</v>
      </c>
      <c r="BR14" s="241">
        <f t="shared" si="34"/>
        <v>-2471.4633060182659</v>
      </c>
      <c r="BS14" s="241">
        <f t="shared" si="35"/>
        <v>-49756.628606931547</v>
      </c>
      <c r="BT14" s="241">
        <f t="shared" si="36"/>
        <v>-2471.4633060182659</v>
      </c>
      <c r="BU14" s="241">
        <f t="shared" si="37"/>
        <v>-49756.628606931547</v>
      </c>
      <c r="BV14" s="241">
        <f t="shared" si="38"/>
        <v>-1481.8711180256087</v>
      </c>
      <c r="BW14" s="241">
        <f t="shared" si="39"/>
        <v>-1419.8711180256087</v>
      </c>
      <c r="BX14" s="241">
        <f t="shared" si="40"/>
        <v>-1481.8711180256087</v>
      </c>
      <c r="BY14" s="241">
        <f t="shared" si="41"/>
        <v>-1481.8711180256087</v>
      </c>
      <c r="BZ14" s="241">
        <f t="shared" si="42"/>
        <v>-1481.8711180256087</v>
      </c>
      <c r="CA14" s="241">
        <f t="shared" si="43"/>
        <v>-40686.427019305906</v>
      </c>
      <c r="CB14" s="241">
        <f t="shared" si="44"/>
        <v>-1419.8711180256087</v>
      </c>
      <c r="CC14" s="241">
        <f t="shared" si="45"/>
        <v>-41294.427019305906</v>
      </c>
      <c r="CD14" s="241">
        <f t="shared" si="46"/>
        <v>-1481.8711180256087</v>
      </c>
      <c r="CE14" s="241">
        <f t="shared" si="47"/>
        <v>-40686.427019305906</v>
      </c>
      <c r="CF14" s="241">
        <f t="shared" si="48"/>
        <v>-1481.8711180256087</v>
      </c>
      <c r="CG14" s="241">
        <f t="shared" si="49"/>
        <v>-40686.427019305906</v>
      </c>
      <c r="CH14" s="133"/>
      <c r="CI14" s="242">
        <f t="shared" ca="1" si="64"/>
        <v>49188</v>
      </c>
      <c r="CJ14" s="241">
        <f t="shared" si="50"/>
        <v>-2471.4633060182659</v>
      </c>
      <c r="CK14" s="241">
        <f t="shared" si="51"/>
        <v>-2471.4633060182659</v>
      </c>
      <c r="CL14" s="241">
        <f t="shared" si="52"/>
        <v>-2471.4633060182659</v>
      </c>
      <c r="CM14" s="241">
        <f t="shared" si="53"/>
        <v>-2471.4633060182659</v>
      </c>
      <c r="CN14" s="241">
        <f t="shared" si="54"/>
        <v>-2471.4633060182659</v>
      </c>
      <c r="CO14" s="235"/>
      <c r="CP14" s="235"/>
      <c r="CQ14" s="235"/>
      <c r="CR14" s="235"/>
      <c r="CS14" s="235"/>
      <c r="CT14" s="235"/>
      <c r="CU14" s="235"/>
      <c r="CV14" s="235"/>
      <c r="CW14" s="235"/>
      <c r="CX14" s="235"/>
      <c r="CY14" s="235"/>
      <c r="CZ14" s="235"/>
      <c r="DA14" s="241">
        <f t="shared" si="55"/>
        <v>-1481.8711180256087</v>
      </c>
      <c r="DB14" s="241">
        <f t="shared" si="56"/>
        <v>-1481.8711180256087</v>
      </c>
      <c r="DC14" s="241">
        <f t="shared" si="57"/>
        <v>-1481.8711180256087</v>
      </c>
      <c r="DD14" s="241">
        <f t="shared" si="58"/>
        <v>-1481.8711180256087</v>
      </c>
      <c r="DE14" s="241">
        <f t="shared" si="59"/>
        <v>-1481.8711180256087</v>
      </c>
      <c r="DF14" s="235"/>
      <c r="DG14" s="235"/>
      <c r="DH14" s="235"/>
      <c r="DI14" s="235"/>
      <c r="DJ14" s="235"/>
      <c r="DK14" s="235"/>
      <c r="DL14" s="235"/>
      <c r="DM14" s="235"/>
      <c r="DN14" s="235"/>
      <c r="DO14" s="235"/>
      <c r="DP14" s="235"/>
      <c r="DQ14" s="235"/>
      <c r="DR14" s="235"/>
      <c r="DS14" s="241">
        <f t="shared" si="3"/>
        <v>-1481.8711180256087</v>
      </c>
    </row>
    <row r="15" spans="1:123" ht="15.6">
      <c r="A15" s="243">
        <v>11</v>
      </c>
      <c r="B15" s="244">
        <f>B14*(1+'Immobilie als Kapitalanlage'!$D$47)</f>
        <v>277801.41831966379</v>
      </c>
      <c r="C15" s="241">
        <f>$C$4*(1+'Immobilie als Kapitalanlage'!$D$47)^A15</f>
        <v>0</v>
      </c>
      <c r="D15" s="244">
        <f t="shared" si="69"/>
        <v>277801.41831966379</v>
      </c>
      <c r="E15" s="138"/>
      <c r="F15" s="245">
        <f>MAX(-FV('Immobilie als Kapitalanlage'!$D$26/12,A15*12,(-I15/12),'Immobilie als Kapitalanlage'!$C$25,0),0)</f>
        <v>198973.3005279697</v>
      </c>
      <c r="G15" s="245">
        <f>IF(I15-H15&gt;G14,F14*'Immobilie als Kapitalanlage'!$D$26,I15-H15)</f>
        <v>7066.6694205839012</v>
      </c>
      <c r="H15" s="241">
        <f t="shared" si="4"/>
        <v>5383.3305794160988</v>
      </c>
      <c r="I15" s="241">
        <f>$F$4*('Immobilie als Kapitalanlage'!$D$26+'Immobilie als Kapitalanlage'!$D$36)</f>
        <v>12450</v>
      </c>
      <c r="J15" s="245">
        <f>MAX((-FV('Immobilie als Kapitalanlage'!$C$85/12,(A15-$A$14)*12,(-M15/12),$J$14,0)),0)</f>
        <v>200193.72887878306</v>
      </c>
      <c r="K15" s="241">
        <f t="shared" ref="K15:K54" si="98">M15-L15</f>
        <v>8098.4956378404149</v>
      </c>
      <c r="L15" s="241">
        <f t="shared" ref="L15:L54" si="99">J14-J15</f>
        <v>4162.9022286027321</v>
      </c>
      <c r="M15" s="241">
        <f>$J$14*('Immobilie als Kapitalanlage'!$C$85+'Immobilie als Kapitalanlage'!$C$86)</f>
        <v>12261.397866443147</v>
      </c>
      <c r="N15" s="246">
        <f t="shared" ref="N15:Q15" si="100">F15</f>
        <v>198973.3005279697</v>
      </c>
      <c r="O15" s="246">
        <f t="shared" si="100"/>
        <v>7066.6694205839012</v>
      </c>
      <c r="P15" s="246">
        <f t="shared" si="100"/>
        <v>5383.3305794160988</v>
      </c>
      <c r="Q15" s="246">
        <f t="shared" si="100"/>
        <v>12450</v>
      </c>
      <c r="R15" s="250">
        <f t="shared" si="6"/>
        <v>-1775.8310710483622</v>
      </c>
      <c r="S15" s="250">
        <f>'Immobilie als Kapitalanlage'!$C$27*12*(1+'Immobilie als Kapitalanlage'!$D$44)^A14</f>
        <v>-298.40983401471652</v>
      </c>
      <c r="T15" s="250">
        <f>'Immobilie als Kapitalanlage'!$C$29*12*(1+'Immobilie als Kapitalanlage'!$D$44)^A14</f>
        <v>-1038.583245835533</v>
      </c>
      <c r="U15" s="250">
        <f>'Immobilie als Kapitalanlage'!$C$30*12*(1+'Immobilie als Kapitalanlage'!$D$44)^A14</f>
        <v>-438.83799119811255</v>
      </c>
      <c r="V15" s="250">
        <f>'Immobilie als Kapitalanlage'!$C$28*12*(1+'Immobilie als Kapitalanlage'!$D$44)^A14</f>
        <v>-746.02458503679134</v>
      </c>
      <c r="W15" s="241">
        <f>$W$5*(1+'Immobilie als Kapitalanlage'!$D$43)^A14</f>
        <v>12433.743083946523</v>
      </c>
      <c r="X15" s="241">
        <f>$X$5*(1+'Immobilie als Kapitalanlage'!$D$43)^A14</f>
        <v>14174.467115699033</v>
      </c>
      <c r="Y15" s="241">
        <f>-'Immobilie als Kapitalanlage'!$C$25*'Immobilie als Kapitalanlage'!$D$99</f>
        <v>0</v>
      </c>
      <c r="Z15" s="241">
        <f t="shared" si="7"/>
        <v>0</v>
      </c>
      <c r="AA15" s="241">
        <f>FV((((1+'Immobilie als Kapitalanlage'!$D$80)^(1/12)-1)),A15*12,Y15/12,-'Immobilie als Kapitalanlage'!$G$95,)</f>
        <v>0</v>
      </c>
      <c r="AB15" s="241">
        <f>$AB$5*(1+'Immobilie als Kapitalanlage'!$D$51)^A14</f>
        <v>97519.553599580569</v>
      </c>
      <c r="AC15" s="241">
        <f>IF(AND(AB15&gt;Steuern!$D$6,AB15&lt;Steuern!$D$10),INT((Steuern!$H$8*(AB15-Steuern!$D$6)/10000+Steuern!$I$8)*(AB15-Steuern!$D$6)/10000),IF(AND(AB15&gt;Steuern!$F$8,AB15&lt;Steuern!$D$12),INT((Steuern!$H$10*(AB15-Steuern!$F$8)/10000+Steuern!$I$10)*(AB15-Steuern!$F$8)/10000+Steuern!$J$10),IF(AND(AB15&gt;Steuern!$F$10,AB15&lt;Steuern!$D$14),INT(AB15*Steuern!$H$12-Steuern!$I$12),IF(AB15&gt;Steuern!$F$12,INT(AB15*Steuern!$H$14-Steuern!$I$14),0))))</f>
        <v>30985</v>
      </c>
      <c r="AD15" s="241">
        <f>IF(AND(AB15/2&gt;Steuern!$D$6,AB15/2&lt;Steuern!$D$10),INT((Steuern!$H$8*(AB15/2-Steuern!$D$8)/10000+Steuern!$I$8)*(AB15/2-Steuern!$D$6)/10000),IF(AND(AB15/2&gt;Steuern!$F$8,AB15/2&lt;Steuern!$D$12),INT((Steuern!$H$10*(AB15/2-Steuern!$F$8)/10000+Steuern!$I$10)*(AB15/2-Steuern!$F$8)/10000+Steuern!$J$10),IF(AND(AB15/2&gt;Steuern!$F$10,AB15/2&lt;Steuern!$D$14),INT(AB15/2*Steuern!$H$12-Steuern!$I$12),IF(AB15/2&gt;Steuern!$F$12,INT(AB15/2*Steuern!$H$14-Steuern!$I$14),0))))*2</f>
        <v>21772</v>
      </c>
      <c r="AE15" s="241">
        <f t="shared" si="8"/>
        <v>3591.24259231426</v>
      </c>
      <c r="AF15" s="241">
        <f t="shared" si="9"/>
        <v>2559.4163750577463</v>
      </c>
      <c r="AG15" s="241">
        <f t="shared" si="10"/>
        <v>3591.24259231426</v>
      </c>
      <c r="AH15" s="241">
        <f t="shared" si="11"/>
        <v>5331.9666240667702</v>
      </c>
      <c r="AI15" s="241">
        <f t="shared" si="12"/>
        <v>4300.1404068102565</v>
      </c>
      <c r="AJ15" s="241">
        <f t="shared" si="13"/>
        <v>5331.9666240667702</v>
      </c>
      <c r="AK15" s="248"/>
      <c r="AL15" s="241">
        <f>('Immobilie als Kapitalanlage'!$C$16+'Immobilie als Kapitalanlage'!$C$20+'Immobilie als Kapitalanlage'!$C$15)*(1-'Immobilie als Kapitalanlage'!$D$53)</f>
        <v>190858.5</v>
      </c>
      <c r="AM15" s="241">
        <f>AL15*'Immobilie als Kapitalanlage'!$D$52</f>
        <v>3817.17</v>
      </c>
      <c r="AN15" s="241">
        <f t="shared" si="14"/>
        <v>97293.626191894829</v>
      </c>
      <c r="AO15" s="241">
        <f>IF(AND(AN15&gt;Steuern!$D$6,AN15&lt;Steuern!$D$10),INT((#REF!*(AN15-Steuern!$D$8)/10000+Steuern!$I$8)*(AN15-Steuern!$D$6)/10000),IF(AND(AN15&gt;Steuern!$F$8,AN15&lt;Steuern!$D$12),INT((Steuern!$H$10*(AN15-Steuern!$F$8)/10000+Steuern!$I$10)*(AN15-Steuern!$F$8)/10000+Steuern!$J$10),IF(AND(AN15&gt;Steuern!$F$10,AN15&lt;Steuern!$D$14),INT(AN15*Steuern!$H$12-Steuern!$I$12),IF(AN15&gt;Steuern!$F$12,INT(AN15*Steuern!$H$14-Steuern!$I$14),0))))</f>
        <v>30890</v>
      </c>
      <c r="AP15" s="241">
        <f>IF(AND(AN15/2&gt;Steuern!$D$6,AN15/2&lt;Steuern!$D$10),INT((Steuern!$H$8*(AN15/2-Steuern!$D$8)/10000+Steuern!$I$8)*(AN15/2-Steuern!$D$6)/10000),IF(AND(AN15/2&gt;Steuern!$F$8,AN15/2&lt;Steuern!$D$12),INT((Steuern!$H$10*(AN15/2-Steuern!$F$8)/10000+Steuern!$I$10)*(AN15/2-Steuern!$F$8)/10000+Steuern!$J$10),IF(AND(AN15/2&gt;Steuern!$F$10,AN15/2&lt;Steuern!$D$14),INT(AN15/2*Steuern!$H$12-Steuern!$I$12),IF(AN15/2&gt;Steuern!$F$12,INT(AN15/2*Steuern!$H$14-Steuern!$I$14),0))))*2</f>
        <v>21688</v>
      </c>
      <c r="AQ15" s="241">
        <f t="shared" si="15"/>
        <v>96261.799974638314</v>
      </c>
      <c r="AR15" s="241">
        <f>IF(AND(AQ15&gt;Steuern!$D$6,AQ15&lt;Steuern!$D$10),INT((Steuern!$H$8*(AQ15-Steuern!$D$6)/10000+Steuern!$I$8)*(AQ15-Steuern!$D$6)/10000),IF(AND(AQ15&gt;Steuern!$F$8,AQ15&lt;Steuern!$D$12),INT((Steuern!$H$10*(AQ15-Steuern!$F$8)/10000+Steuern!$I$10)*(AQ15-Steuern!$F$8)/10000+Steuern!$J$10),IF(AND(AQ15&gt;Steuern!$F$10,AQ15&lt;Steuern!$D$14),INT(AQ15*Steuern!$H$12-Steuern!$I$12),IF(AQ15&gt;Steuern!$F$12,INT(AQ15*Steuern!$H$14-Steuern!$I$14),0))))</f>
        <v>30456</v>
      </c>
      <c r="AS15" s="241">
        <f t="shared" si="16"/>
        <v>97293.626191894829</v>
      </c>
      <c r="AT15" s="241">
        <f>IF(AND(AS15&gt;Steuern!$D$6,AS15&lt;Steuern!$D$10),INT((Steuern!$H$8*(AS15-Steuern!$D$6)/10000+Steuern!$I$8)*(AS15-Steuern!$D$6)/10000),IF(AND(AS15&gt;Steuern!$F$8,AS15&lt;Steuern!$D$12),INT((Steuern!$H$10*(AS15-Steuern!$F$8)/10000+Steuern!$I$10)*(AS15-Steuern!$F$8)/10000+Steuern!$J$10),IF(AND(AS15&gt;Steuern!$F$10,AS15&lt;Steuern!$D$14),INT(AS15*Steuern!$H$12-Steuern!$I$12),IF(AS15&gt;Steuern!$F$12,INT(AS15*Steuern!$H$14-Steuern!$I$14),0))))</f>
        <v>30890</v>
      </c>
      <c r="AU15" s="241">
        <f t="shared" si="17"/>
        <v>99034.350223647343</v>
      </c>
      <c r="AV15" s="241">
        <f>IF(AND(AU15&gt;Steuern!$D$6,AU15&lt;Steuern!$D$10),INT((Steuern!$H$8*(AU15-Steuern!$D$6)/10000+Steuern!$I$8)*(AU15-Steuern!$D$6)/10000),IF(AND(AU15&gt;Steuern!$F$8,AU15&lt;Steuern!$D$12),INT((Steuern!$H$10*(AU15-Steuern!$F$8)/10000+Steuern!$I$10)*(AU15-Steuern!$F$8)/10000+Steuern!$J$10),IF(AND(AU15&gt;Steuern!$F$10,AU15&lt;Steuern!$D$14),INT(AU15*Steuern!$H$12-Steuern!$I$12),IF(AU15&gt;Steuern!$F$12,INT(AU15*Steuern!$H$14-Steuern!$I$14),0))))</f>
        <v>31621</v>
      </c>
      <c r="AW15" s="241">
        <f>IF(AND(AU15/2&gt;Steuern!$D$6,AU15/2&lt;Steuern!$D$10),INT((Steuern!$H$8*(AU15/2-Steuern!$D$8)/10000+Steuern!$I$8)*(AU15/2-Steuern!$D$6)/10000),IF(AND(AU15/2&gt;Steuern!$F$8,AU15/2&lt;Steuern!$D$12),INT((Steuern!$H$10*(AU15/2-Steuern!$F$8)/10000+Steuern!$I$10)*(AU15/2-Steuern!$F$8)/10000+Steuern!$J$10),IF(AND(AU15/2&gt;Steuern!$F$10,AU15/2&lt;Steuern!$D$14),INT(AU15/2*Steuern!$H$12-Steuern!$I$12),IF(AU15/2&gt;Steuern!$F$12,INT(AU15/2*Steuern!$H$14-Steuern!$I$14),0))))*2</f>
        <v>22328</v>
      </c>
      <c r="AX15" s="241">
        <f t="shared" si="18"/>
        <v>98002.524006390828</v>
      </c>
      <c r="AY15" s="241">
        <f>IF(AND(AX15&gt;Steuern!$D$6,AX15&lt;Steuern!$D$10),INT((#REF!*(AX15-Steuern!$D$8)/10000+Steuern!$I$8)*(AX15-Steuern!$D$6)/10000),IF(AND(AX15&gt;Steuern!$F$8,AX15&lt;Steuern!$D$12),INT((Steuern!$H$10*(AX15-Steuern!$F$8)/10000+Steuern!$I$10)*(AX15-Steuern!$F$8)/10000+Steuern!$J$10),IF(AND(AX15&gt;Steuern!$F$10,AX15&lt;Steuern!$D$14),INT(AX15*Steuern!$H$12-Steuern!$I$12),IF(AX15&gt;Steuern!$F$12,INT(AX15*Steuern!$H$14-Steuern!$I$14),0))))</f>
        <v>31188</v>
      </c>
      <c r="AZ15" s="241">
        <f t="shared" si="19"/>
        <v>99034.350223647343</v>
      </c>
      <c r="BA15" s="241">
        <f>IF(AND(AZ15&gt;Steuern!$D$6,AZ15&lt;Steuern!$D$10),INT((#REF!*(AZ15-Steuern!$D$8)/10000+Steuern!$I$8)*(AZ15-Steuern!$D$6)/10000),IF(AND(AZ15&gt;Steuern!$F$8,AZ15&lt;Steuern!$D$12),INT((Steuern!$H$10*(AZ15-Steuern!$F$8)/10000+Steuern!$I$10)*(AZ15-Steuern!$F$8)/10000+Steuern!$J$10),IF(AND(AZ15&gt;Steuern!$F$10,AZ15&lt;Steuern!$D$14),INT(AZ15*Steuern!$H$12-Steuern!$I$12),IF(AZ15&gt;Steuern!$F$12,INT(AZ15*Steuern!$H$14-Steuern!$I$14),0))))</f>
        <v>31621</v>
      </c>
      <c r="BB15" s="241">
        <f t="shared" ref="BB15:BC15" si="101">AC15-AO15</f>
        <v>95</v>
      </c>
      <c r="BC15" s="241">
        <f t="shared" si="101"/>
        <v>84</v>
      </c>
      <c r="BD15" s="241">
        <f t="shared" si="21"/>
        <v>529</v>
      </c>
      <c r="BE15" s="241">
        <f t="shared" si="22"/>
        <v>95</v>
      </c>
      <c r="BF15" s="241">
        <f t="shared" ref="BF15:BG15" si="102">AC15-AV15</f>
        <v>-636</v>
      </c>
      <c r="BG15" s="241">
        <f t="shared" si="102"/>
        <v>-556</v>
      </c>
      <c r="BH15" s="241">
        <f t="shared" si="24"/>
        <v>-203</v>
      </c>
      <c r="BI15" s="241">
        <f t="shared" si="25"/>
        <v>-636</v>
      </c>
      <c r="BJ15" s="241">
        <f t="shared" si="26"/>
        <v>-2443.1125721386306</v>
      </c>
      <c r="BK15" s="241">
        <f t="shared" si="27"/>
        <v>-2454.1125721386306</v>
      </c>
      <c r="BL15" s="241">
        <f t="shared" si="28"/>
        <v>-1820.5104385817776</v>
      </c>
      <c r="BM15" s="241">
        <f t="shared" si="29"/>
        <v>-2443.1125721386306</v>
      </c>
      <c r="BN15" s="241">
        <f t="shared" si="30"/>
        <v>-2443.1125721386306</v>
      </c>
      <c r="BO15" s="241">
        <f t="shared" si="31"/>
        <v>-52199.741179070174</v>
      </c>
      <c r="BP15" s="241">
        <f t="shared" si="32"/>
        <v>-2454.1125721386306</v>
      </c>
      <c r="BQ15" s="241">
        <f t="shared" si="33"/>
        <v>-53996.741179070174</v>
      </c>
      <c r="BR15" s="241">
        <f t="shared" si="34"/>
        <v>-1820.5104385817776</v>
      </c>
      <c r="BS15" s="241">
        <f t="shared" si="35"/>
        <v>-51577.139045513322</v>
      </c>
      <c r="BT15" s="241">
        <f t="shared" si="36"/>
        <v>-2443.1125721386306</v>
      </c>
      <c r="BU15" s="241">
        <f t="shared" si="37"/>
        <v>-52199.741179070174</v>
      </c>
      <c r="BV15" s="241">
        <f t="shared" si="38"/>
        <v>-1433.3885403861204</v>
      </c>
      <c r="BW15" s="241">
        <f t="shared" si="39"/>
        <v>-1353.3885403861204</v>
      </c>
      <c r="BX15" s="241">
        <f t="shared" si="40"/>
        <v>-811.78640682926743</v>
      </c>
      <c r="BY15" s="241">
        <f t="shared" si="41"/>
        <v>-1433.3885403861204</v>
      </c>
      <c r="BZ15" s="241">
        <f t="shared" si="42"/>
        <v>-1433.3885403861204</v>
      </c>
      <c r="CA15" s="241">
        <f t="shared" si="43"/>
        <v>-42119.815559692026</v>
      </c>
      <c r="CB15" s="241">
        <f t="shared" si="44"/>
        <v>-1353.3885403861204</v>
      </c>
      <c r="CC15" s="241">
        <f t="shared" si="45"/>
        <v>-42647.815559692026</v>
      </c>
      <c r="CD15" s="241">
        <f t="shared" si="46"/>
        <v>-811.78640682926743</v>
      </c>
      <c r="CE15" s="241">
        <f t="shared" si="47"/>
        <v>-41498.213426135175</v>
      </c>
      <c r="CF15" s="241">
        <f t="shared" si="48"/>
        <v>-1433.3885403861204</v>
      </c>
      <c r="CG15" s="241">
        <f t="shared" si="49"/>
        <v>-42119.815559692026</v>
      </c>
      <c r="CI15" s="249">
        <f t="shared" ca="1" si="64"/>
        <v>49553</v>
      </c>
      <c r="CJ15" s="241">
        <f t="shared" si="50"/>
        <v>-2443.1125721386306</v>
      </c>
      <c r="CK15" s="241">
        <v>0</v>
      </c>
      <c r="CL15" s="241">
        <f t="shared" si="52"/>
        <v>-2443.1125721386306</v>
      </c>
      <c r="CM15" s="241">
        <f t="shared" si="53"/>
        <v>-2443.1125721386306</v>
      </c>
      <c r="CN15" s="241">
        <f t="shared" si="54"/>
        <v>-2443.1125721386306</v>
      </c>
      <c r="CO15" s="241"/>
      <c r="CP15" s="241"/>
      <c r="CQ15" s="241"/>
      <c r="CR15" s="241"/>
      <c r="CS15" s="241"/>
      <c r="CT15" s="241"/>
      <c r="CU15" s="241"/>
      <c r="CV15" s="241"/>
      <c r="CW15" s="241"/>
      <c r="CX15" s="241"/>
      <c r="CY15" s="241"/>
      <c r="CZ15" s="241"/>
      <c r="DA15" s="241">
        <f t="shared" si="55"/>
        <v>-1433.3885403861204</v>
      </c>
      <c r="DB15" s="241">
        <v>0</v>
      </c>
      <c r="DC15" s="241">
        <f t="shared" si="57"/>
        <v>-1433.3885403861204</v>
      </c>
      <c r="DD15" s="241">
        <f t="shared" si="58"/>
        <v>-1433.3885403861204</v>
      </c>
      <c r="DE15" s="241">
        <f t="shared" si="59"/>
        <v>-1433.3885403861204</v>
      </c>
      <c r="DF15" s="241"/>
      <c r="DG15" s="241"/>
      <c r="DH15" s="241"/>
      <c r="DI15" s="241"/>
      <c r="DJ15" s="241"/>
      <c r="DK15" s="241"/>
      <c r="DL15" s="241"/>
      <c r="DM15" s="241"/>
      <c r="DN15" s="241"/>
      <c r="DO15" s="241"/>
      <c r="DP15" s="241"/>
      <c r="DQ15" s="241"/>
      <c r="DR15" s="241"/>
      <c r="DS15" s="241">
        <f t="shared" si="3"/>
        <v>-1433.3885403861204</v>
      </c>
    </row>
    <row r="16" spans="1:123" ht="15.6">
      <c r="A16" s="243">
        <v>12</v>
      </c>
      <c r="B16" s="244">
        <f>B15*(1+'Immobilie als Kapitalanlage'!$D$47)</f>
        <v>280579.43250286044</v>
      </c>
      <c r="C16" s="241">
        <f>$C$4*(1+'Immobilie als Kapitalanlage'!$D$47)^A16</f>
        <v>0</v>
      </c>
      <c r="D16" s="244">
        <f t="shared" si="69"/>
        <v>280579.43250286044</v>
      </c>
      <c r="E16" s="138"/>
      <c r="F16" s="245">
        <f>MAX(-FV('Immobilie als Kapitalanlage'!$D$26/12,A16*12,(-I16/12),'Immobilie als Kapitalanlage'!$C$25,0),0)</f>
        <v>193398.50128314295</v>
      </c>
      <c r="G16" s="245">
        <f>IF(I16-H16&gt;G15,F15*'Immobilie als Kapitalanlage'!$D$26,I16-H16)</f>
        <v>6875.2007551732531</v>
      </c>
      <c r="H16" s="241">
        <f t="shared" si="4"/>
        <v>5574.7992448267469</v>
      </c>
      <c r="I16" s="241">
        <f>$F$4*('Immobilie als Kapitalanlage'!$D$26+'Immobilie als Kapitalanlage'!$D$36)</f>
        <v>12450</v>
      </c>
      <c r="J16" s="245">
        <f>MAX((-FV('Immobilie als Kapitalanlage'!$C$85/12,(A16-$A$14)*12,(-M16/12),$J$14,0)),0)</f>
        <v>195861.2235903629</v>
      </c>
      <c r="K16" s="241">
        <f t="shared" si="98"/>
        <v>7928.8925780229893</v>
      </c>
      <c r="L16" s="241">
        <f t="shared" si="99"/>
        <v>4332.5052884201577</v>
      </c>
      <c r="M16" s="241">
        <f>$J$14*('Immobilie als Kapitalanlage'!$C$85+'Immobilie als Kapitalanlage'!$C$86)</f>
        <v>12261.397866443147</v>
      </c>
      <c r="N16" s="246">
        <f t="shared" ref="N16:Q16" si="103">F16</f>
        <v>193398.50128314295</v>
      </c>
      <c r="O16" s="246">
        <f t="shared" si="103"/>
        <v>6875.2007551732531</v>
      </c>
      <c r="P16" s="246">
        <f t="shared" si="103"/>
        <v>5574.7992448267469</v>
      </c>
      <c r="Q16" s="246">
        <f t="shared" si="103"/>
        <v>12450</v>
      </c>
      <c r="R16" s="250">
        <f t="shared" si="6"/>
        <v>-1811.3476924693289</v>
      </c>
      <c r="S16" s="250">
        <f>'Immobilie als Kapitalanlage'!$C$27*12*(1+'Immobilie als Kapitalanlage'!$D$44)^A15</f>
        <v>-304.37803069501081</v>
      </c>
      <c r="T16" s="250">
        <f>'Immobilie als Kapitalanlage'!$C$29*12*(1+'Immobilie als Kapitalanlage'!$D$44)^A15</f>
        <v>-1059.3549107522435</v>
      </c>
      <c r="U16" s="250">
        <f>'Immobilie als Kapitalanlage'!$C$30*12*(1+'Immobilie als Kapitalanlage'!$D$44)^A15</f>
        <v>-447.6147510220747</v>
      </c>
      <c r="V16" s="250">
        <f>'Immobilie als Kapitalanlage'!$C$28*12*(1+'Immobilie als Kapitalanlage'!$D$44)^A15</f>
        <v>-760.94507673752707</v>
      </c>
      <c r="W16" s="241">
        <f>$W$5*(1+'Immobilie als Kapitalanlage'!$D$43)^A15</f>
        <v>12682.417945625451</v>
      </c>
      <c r="X16" s="241">
        <f>$X$5*(1+'Immobilie als Kapitalanlage'!$D$43)^A15</f>
        <v>14457.956458013012</v>
      </c>
      <c r="Y16" s="241">
        <f>-'Immobilie als Kapitalanlage'!$C$25*'Immobilie als Kapitalanlage'!$D$99</f>
        <v>0</v>
      </c>
      <c r="Z16" s="241">
        <f t="shared" si="7"/>
        <v>0</v>
      </c>
      <c r="AA16" s="241">
        <f>FV((((1+'Immobilie als Kapitalanlage'!$D$80)^(1/12)-1)),A16*12,Y16/12,-'Immobilie als Kapitalanlage'!$G$95,)</f>
        <v>0</v>
      </c>
      <c r="AB16" s="241">
        <f>$AB$5*(1+'Immobilie als Kapitalanlage'!$D$51)^A15</f>
        <v>99469.944671572157</v>
      </c>
      <c r="AC16" s="241">
        <f>IF(AND(AB16&gt;Steuern!$D$6,AB16&lt;Steuern!$D$10),INT((Steuern!$H$8*(AB16-Steuern!$D$6)/10000+Steuern!$I$8)*(AB16-Steuern!$D$6)/10000),IF(AND(AB16&gt;Steuern!$F$8,AB16&lt;Steuern!$D$12),INT((Steuern!$H$10*(AB16-Steuern!$F$8)/10000+Steuern!$I$10)*(AB16-Steuern!$F$8)/10000+Steuern!$J$10),IF(AND(AB16&gt;Steuern!$F$10,AB16&lt;Steuern!$D$14),INT(AB16*Steuern!$H$12-Steuern!$I$12),IF(AB16&gt;Steuern!$F$12,INT(AB16*Steuern!$H$14-Steuern!$I$14),0))))</f>
        <v>31804</v>
      </c>
      <c r="AD16" s="241">
        <f>IF(AND(AB16/2&gt;Steuern!$D$6,AB16/2&lt;Steuern!$D$10),INT((Steuern!$H$8*(AB16/2-Steuern!$D$8)/10000+Steuern!$I$8)*(AB16/2-Steuern!$D$6)/10000),IF(AND(AB16/2&gt;Steuern!$F$8,AB16/2&lt;Steuern!$D$12),INT((Steuern!$H$10*(AB16/2-Steuern!$F$8)/10000+Steuern!$I$10)*(AB16/2-Steuern!$F$8)/10000+Steuern!$J$10),IF(AND(AB16/2&gt;Steuern!$F$10,AB16/2&lt;Steuern!$D$14),INT(AB16/2*Steuern!$H$12-Steuern!$I$12),IF(AB16/2&gt;Steuern!$F$12,INT(AB16/2*Steuern!$H$14-Steuern!$I$14),0))))*2</f>
        <v>22488</v>
      </c>
      <c r="AE16" s="241">
        <f t="shared" si="8"/>
        <v>3995.8694979828688</v>
      </c>
      <c r="AF16" s="241">
        <f t="shared" si="9"/>
        <v>2942.1776751331327</v>
      </c>
      <c r="AG16" s="241">
        <f t="shared" si="10"/>
        <v>3995.8694979828688</v>
      </c>
      <c r="AH16" s="241">
        <f t="shared" si="11"/>
        <v>5771.4080103704291</v>
      </c>
      <c r="AI16" s="241">
        <f t="shared" si="12"/>
        <v>4717.716187520693</v>
      </c>
      <c r="AJ16" s="241">
        <f t="shared" si="13"/>
        <v>5771.4080103704291</v>
      </c>
      <c r="AK16" s="248"/>
      <c r="AL16" s="241">
        <f>('Immobilie als Kapitalanlage'!$C$16+'Immobilie als Kapitalanlage'!$C$20+'Immobilie als Kapitalanlage'!$C$15)*(1-'Immobilie als Kapitalanlage'!$D$53)</f>
        <v>190858.5</v>
      </c>
      <c r="AM16" s="241">
        <f>AL16*'Immobilie als Kapitalanlage'!$D$52</f>
        <v>3817.17</v>
      </c>
      <c r="AN16" s="241">
        <f t="shared" si="14"/>
        <v>99648.644169555031</v>
      </c>
      <c r="AO16" s="241">
        <f>IF(AND(AN16&gt;Steuern!$D$6,AN16&lt;Steuern!$D$10),INT((#REF!*(AN16-Steuern!$D$8)/10000+Steuern!$I$8)*(AN16-Steuern!$D$6)/10000),IF(AND(AN16&gt;Steuern!$F$8,AN16&lt;Steuern!$D$12),INT((Steuern!$H$10*(AN16-Steuern!$F$8)/10000+Steuern!$I$10)*(AN16-Steuern!$F$8)/10000+Steuern!$J$10),IF(AND(AN16&gt;Steuern!$F$10,AN16&lt;Steuern!$D$14),INT(AN16*Steuern!$H$12-Steuern!$I$12),IF(AN16&gt;Steuern!$F$12,INT(AN16*Steuern!$H$14-Steuern!$I$14),0))))</f>
        <v>31879</v>
      </c>
      <c r="AP16" s="241">
        <f>IF(AND(AN16/2&gt;Steuern!$D$6,AN16/2&lt;Steuern!$D$10),INT((Steuern!$H$8*(AN16/2-Steuern!$D$8)/10000+Steuern!$I$8)*(AN16/2-Steuern!$D$6)/10000),IF(AND(AN16/2&gt;Steuern!$F$8,AN16/2&lt;Steuern!$D$12),INT((Steuern!$H$10*(AN16/2-Steuern!$F$8)/10000+Steuern!$I$10)*(AN16/2-Steuern!$F$8)/10000+Steuern!$J$10),IF(AND(AN16/2&gt;Steuern!$F$10,AN16/2&lt;Steuern!$D$14),INT(AN16/2*Steuern!$H$12-Steuern!$I$12),IF(AN16/2&gt;Steuern!$F$12,INT(AN16/2*Steuern!$H$14-Steuern!$I$14),0))))*2</f>
        <v>22554</v>
      </c>
      <c r="AQ16" s="241">
        <f t="shared" si="15"/>
        <v>98594.952346705293</v>
      </c>
      <c r="AR16" s="241">
        <f>IF(AND(AQ16&gt;Steuern!$D$6,AQ16&lt;Steuern!$D$10),INT((Steuern!$H$8*(AQ16-Steuern!$D$6)/10000+Steuern!$I$8)*(AQ16-Steuern!$D$6)/10000),IF(AND(AQ16&gt;Steuern!$F$8,AQ16&lt;Steuern!$D$12),INT((Steuern!$H$10*(AQ16-Steuern!$F$8)/10000+Steuern!$I$10)*(AQ16-Steuern!$F$8)/10000+Steuern!$J$10),IF(AND(AQ16&gt;Steuern!$F$10,AQ16&lt;Steuern!$D$14),INT(AQ16*Steuern!$H$12-Steuern!$I$12),IF(AQ16&gt;Steuern!$F$12,INT(AQ16*Steuern!$H$14-Steuern!$I$14),0))))</f>
        <v>31436</v>
      </c>
      <c r="AS16" s="241">
        <f t="shared" si="16"/>
        <v>99648.644169555031</v>
      </c>
      <c r="AT16" s="241">
        <f>IF(AND(AS16&gt;Steuern!$D$6,AS16&lt;Steuern!$D$10),INT((Steuern!$H$8*(AS16-Steuern!$D$6)/10000+Steuern!$I$8)*(AS16-Steuern!$D$6)/10000),IF(AND(AS16&gt;Steuern!$F$8,AS16&lt;Steuern!$D$12),INT((Steuern!$H$10*(AS16-Steuern!$F$8)/10000+Steuern!$I$10)*(AS16-Steuern!$F$8)/10000+Steuern!$J$10),IF(AND(AS16&gt;Steuern!$F$10,AS16&lt;Steuern!$D$14),INT(AS16*Steuern!$H$12-Steuern!$I$12),IF(AS16&gt;Steuern!$F$12,INT(AS16*Steuern!$H$14-Steuern!$I$14),0))))</f>
        <v>31879</v>
      </c>
      <c r="AU16" s="241">
        <f t="shared" si="17"/>
        <v>101424.18268194259</v>
      </c>
      <c r="AV16" s="241">
        <f>IF(AND(AU16&gt;Steuern!$D$6,AU16&lt;Steuern!$D$10),INT((Steuern!$H$8*(AU16-Steuern!$D$6)/10000+Steuern!$I$8)*(AU16-Steuern!$D$6)/10000),IF(AND(AU16&gt;Steuern!$F$8,AU16&lt;Steuern!$D$12),INT((Steuern!$H$10*(AU16-Steuern!$F$8)/10000+Steuern!$I$10)*(AU16-Steuern!$F$8)/10000+Steuern!$J$10),IF(AND(AU16&gt;Steuern!$F$10,AU16&lt;Steuern!$D$14),INT(AU16*Steuern!$H$12-Steuern!$I$12),IF(AU16&gt;Steuern!$F$12,INT(AU16*Steuern!$H$14-Steuern!$I$14),0))))</f>
        <v>32625</v>
      </c>
      <c r="AW16" s="241">
        <f>IF(AND(AU16/2&gt;Steuern!$D$6,AU16/2&lt;Steuern!$D$10),INT((Steuern!$H$8*(AU16/2-Steuern!$D$8)/10000+Steuern!$I$8)*(AU16/2-Steuern!$D$6)/10000),IF(AND(AU16/2&gt;Steuern!$F$8,AU16/2&lt;Steuern!$D$12),INT((Steuern!$H$10*(AU16/2-Steuern!$F$8)/10000+Steuern!$I$10)*(AU16/2-Steuern!$F$8)/10000+Steuern!$J$10),IF(AND(AU16/2&gt;Steuern!$F$10,AU16/2&lt;Steuern!$D$14),INT(AU16/2*Steuern!$H$12-Steuern!$I$12),IF(AU16/2&gt;Steuern!$F$12,INT(AU16/2*Steuern!$H$14-Steuern!$I$14),0))))*2</f>
        <v>23214</v>
      </c>
      <c r="AX16" s="241">
        <f t="shared" si="18"/>
        <v>100370.49085909285</v>
      </c>
      <c r="AY16" s="241">
        <f>IF(AND(AX16&gt;Steuern!$D$6,AX16&lt;Steuern!$D$10),INT((#REF!*(AX16-Steuern!$D$8)/10000+Steuern!$I$8)*(AX16-Steuern!$D$6)/10000),IF(AND(AX16&gt;Steuern!$F$8,AX16&lt;Steuern!$D$12),INT((Steuern!$H$10*(AX16-Steuern!$F$8)/10000+Steuern!$I$10)*(AX16-Steuern!$F$8)/10000+Steuern!$J$10),IF(AND(AX16&gt;Steuern!$F$10,AX16&lt;Steuern!$D$14),INT(AX16*Steuern!$H$12-Steuern!$I$12),IF(AX16&gt;Steuern!$F$12,INT(AX16*Steuern!$H$14-Steuern!$I$14),0))))</f>
        <v>32182</v>
      </c>
      <c r="AZ16" s="241">
        <f t="shared" si="19"/>
        <v>101424.18268194259</v>
      </c>
      <c r="BA16" s="241">
        <f>IF(AND(AZ16&gt;Steuern!$D$6,AZ16&lt;Steuern!$D$10),INT((#REF!*(AZ16-Steuern!$D$8)/10000+Steuern!$I$8)*(AZ16-Steuern!$D$6)/10000),IF(AND(AZ16&gt;Steuern!$F$8,AZ16&lt;Steuern!$D$12),INT((Steuern!$H$10*(AZ16-Steuern!$F$8)/10000+Steuern!$I$10)*(AZ16-Steuern!$F$8)/10000+Steuern!$J$10),IF(AND(AZ16&gt;Steuern!$F$10,AZ16&lt;Steuern!$D$14),INT(AZ16*Steuern!$H$12-Steuern!$I$12),IF(AZ16&gt;Steuern!$F$12,INT(AZ16*Steuern!$H$14-Steuern!$I$14),0))))</f>
        <v>32625</v>
      </c>
      <c r="BB16" s="241">
        <f t="shared" ref="BB16:BC16" si="104">AC16-AO16</f>
        <v>-75</v>
      </c>
      <c r="BC16" s="241">
        <f t="shared" si="104"/>
        <v>-66</v>
      </c>
      <c r="BD16" s="241">
        <f t="shared" si="21"/>
        <v>368</v>
      </c>
      <c r="BE16" s="241">
        <f t="shared" si="22"/>
        <v>-75</v>
      </c>
      <c r="BF16" s="241">
        <f t="shared" ref="BF16:BG16" si="105">AC16-AV16</f>
        <v>-821</v>
      </c>
      <c r="BG16" s="241">
        <f t="shared" si="105"/>
        <v>-726</v>
      </c>
      <c r="BH16" s="241">
        <f t="shared" si="24"/>
        <v>-378</v>
      </c>
      <c r="BI16" s="241">
        <f t="shared" si="25"/>
        <v>-821</v>
      </c>
      <c r="BJ16" s="241">
        <f t="shared" si="26"/>
        <v>-2414.8748235814055</v>
      </c>
      <c r="BK16" s="241">
        <f t="shared" si="27"/>
        <v>-2405.8748235814055</v>
      </c>
      <c r="BL16" s="241">
        <f t="shared" si="28"/>
        <v>-1783.2726900245525</v>
      </c>
      <c r="BM16" s="241">
        <f t="shared" si="29"/>
        <v>-2414.8748235814055</v>
      </c>
      <c r="BN16" s="241">
        <f t="shared" si="30"/>
        <v>-2414.8748235814055</v>
      </c>
      <c r="BO16" s="241">
        <f t="shared" si="31"/>
        <v>-54614.616002651579</v>
      </c>
      <c r="BP16" s="241">
        <f t="shared" si="32"/>
        <v>-2405.8748235814055</v>
      </c>
      <c r="BQ16" s="241">
        <f t="shared" si="33"/>
        <v>-56402.616002651579</v>
      </c>
      <c r="BR16" s="241">
        <f t="shared" si="34"/>
        <v>-1783.2726900245525</v>
      </c>
      <c r="BS16" s="241">
        <f t="shared" si="35"/>
        <v>-53360.411735537877</v>
      </c>
      <c r="BT16" s="241">
        <f t="shared" si="36"/>
        <v>-2414.8748235814055</v>
      </c>
      <c r="BU16" s="241">
        <f t="shared" si="37"/>
        <v>-54614.616002651579</v>
      </c>
      <c r="BV16" s="241">
        <f t="shared" si="38"/>
        <v>-1385.3363111938452</v>
      </c>
      <c r="BW16" s="241">
        <f t="shared" si="39"/>
        <v>-1290.3363111938452</v>
      </c>
      <c r="BX16" s="241">
        <f t="shared" si="40"/>
        <v>-753.73417763699217</v>
      </c>
      <c r="BY16" s="241">
        <f t="shared" si="41"/>
        <v>-1385.3363111938452</v>
      </c>
      <c r="BZ16" s="241">
        <f t="shared" si="42"/>
        <v>-1385.3363111938452</v>
      </c>
      <c r="CA16" s="241">
        <f t="shared" si="43"/>
        <v>-43505.151870885871</v>
      </c>
      <c r="CB16" s="241">
        <f t="shared" si="44"/>
        <v>-1290.3363111938452</v>
      </c>
      <c r="CC16" s="241">
        <f t="shared" si="45"/>
        <v>-43938.151870885871</v>
      </c>
      <c r="CD16" s="241">
        <f t="shared" si="46"/>
        <v>-753.73417763699217</v>
      </c>
      <c r="CE16" s="241">
        <f t="shared" si="47"/>
        <v>-42251.947603772169</v>
      </c>
      <c r="CF16" s="241">
        <f t="shared" si="48"/>
        <v>-1385.3363111938452</v>
      </c>
      <c r="CG16" s="241">
        <f t="shared" si="49"/>
        <v>-43505.151870885871</v>
      </c>
      <c r="CH16" s="248"/>
      <c r="CI16" s="249">
        <f t="shared" ca="1" si="64"/>
        <v>49919</v>
      </c>
      <c r="CJ16" s="241">
        <f t="shared" si="50"/>
        <v>-2414.8748235814055</v>
      </c>
      <c r="CK16" s="235">
        <f t="array" aca="1" ref="CK16" ca="1">-SUM((CK4:CK15)*(1+'Immobilie als Kapitalanlage'!$D$80)^(DAYS360($CI$4:$CI$15,$CI$15)/360))</f>
        <v>79046.541976684501</v>
      </c>
      <c r="CL16" s="241">
        <f t="shared" si="52"/>
        <v>-2414.8748235814055</v>
      </c>
      <c r="CM16" s="241">
        <f t="shared" si="53"/>
        <v>-2414.8748235814055</v>
      </c>
      <c r="CN16" s="241">
        <f t="shared" si="54"/>
        <v>-2414.8748235814055</v>
      </c>
      <c r="CO16" s="235"/>
      <c r="CP16" s="241"/>
      <c r="CQ16" s="241"/>
      <c r="CR16" s="241"/>
      <c r="CS16" s="235"/>
      <c r="CT16" s="241"/>
      <c r="CU16" s="241"/>
      <c r="CV16" s="241"/>
      <c r="CW16" s="235"/>
      <c r="CX16" s="241"/>
      <c r="CY16" s="241"/>
      <c r="CZ16" s="241"/>
      <c r="DA16" s="241">
        <f t="shared" si="55"/>
        <v>-1385.3363111938452</v>
      </c>
      <c r="DB16" s="235">
        <f t="array" aca="1" ref="DB16" ca="1">-SUM((DB4:DB15)*(1+'Immobilie als Kapitalanlage'!$D$80)^(DAYS360($CI$4:$CI$15,$CI$15)/360))</f>
        <v>66493.050381441339</v>
      </c>
      <c r="DC16" s="241">
        <f t="shared" si="57"/>
        <v>-1385.3363111938452</v>
      </c>
      <c r="DD16" s="241">
        <f t="shared" si="58"/>
        <v>-1385.3363111938452</v>
      </c>
      <c r="DE16" s="241">
        <f t="shared" si="59"/>
        <v>-1385.3363111938452</v>
      </c>
      <c r="DF16" s="235"/>
      <c r="DG16" s="241"/>
      <c r="DH16" s="241"/>
      <c r="DI16" s="241"/>
      <c r="DJ16" s="235"/>
      <c r="DK16" s="241"/>
      <c r="DL16" s="241"/>
      <c r="DM16" s="241"/>
      <c r="DN16" s="235"/>
      <c r="DO16" s="241"/>
      <c r="DP16" s="241"/>
      <c r="DQ16" s="241"/>
      <c r="DR16" s="241"/>
      <c r="DS16" s="241">
        <f t="shared" si="3"/>
        <v>-1385.3363111938452</v>
      </c>
    </row>
    <row r="17" spans="1:123" ht="15.6">
      <c r="A17" s="243">
        <v>13</v>
      </c>
      <c r="B17" s="244">
        <f>B16*(1+'Immobilie als Kapitalanlage'!$D$47)</f>
        <v>283385.22682788904</v>
      </c>
      <c r="C17" s="241">
        <f>$C$4*(1+'Immobilie als Kapitalanlage'!$D$47)^A17</f>
        <v>0</v>
      </c>
      <c r="D17" s="244">
        <f t="shared" si="69"/>
        <v>283385.22682788904</v>
      </c>
      <c r="E17" s="138"/>
      <c r="F17" s="245">
        <f>MAX(-FV('Immobilie als Kapitalanlage'!$D$26/12,A17*12,(-I17/12),'Immobilie als Kapitalanlage'!$C$25,0),0)</f>
        <v>187625.42341589218</v>
      </c>
      <c r="G17" s="245">
        <f>IF(I17-H17&gt;G16,F16*'Immobilie als Kapitalanlage'!$D$26,I17-H17)</f>
        <v>6676.9221327492269</v>
      </c>
      <c r="H17" s="241">
        <f t="shared" si="4"/>
        <v>5773.0778672507731</v>
      </c>
      <c r="I17" s="241">
        <f>$F$4*('Immobilie als Kapitalanlage'!$D$26+'Immobilie als Kapitalanlage'!$D$36)</f>
        <v>12450</v>
      </c>
      <c r="J17" s="245">
        <f>MAX((-FV('Immobilie als Kapitalanlage'!$C$85/12,(A17-$A$14)*12,(-M17/12),$J$14,0)),0)</f>
        <v>191352.20535178427</v>
      </c>
      <c r="K17" s="241">
        <f t="shared" si="98"/>
        <v>7752.379627864515</v>
      </c>
      <c r="L17" s="241">
        <f t="shared" si="99"/>
        <v>4509.018238578632</v>
      </c>
      <c r="M17" s="241">
        <f>$J$14*('Immobilie als Kapitalanlage'!$C$85+'Immobilie als Kapitalanlage'!$C$86)</f>
        <v>12261.397866443147</v>
      </c>
      <c r="N17" s="246">
        <f t="shared" ref="N17:Q17" si="106">F17</f>
        <v>187625.42341589218</v>
      </c>
      <c r="O17" s="246">
        <f t="shared" si="106"/>
        <v>6676.9221327492269</v>
      </c>
      <c r="P17" s="246">
        <f t="shared" si="106"/>
        <v>5773.0778672507731</v>
      </c>
      <c r="Q17" s="246">
        <f t="shared" si="106"/>
        <v>12450</v>
      </c>
      <c r="R17" s="250">
        <f t="shared" si="6"/>
        <v>-1847.5746463187161</v>
      </c>
      <c r="S17" s="250">
        <f>'Immobilie als Kapitalanlage'!$C$27*12*(1+'Immobilie als Kapitalanlage'!$D$44)^A16</f>
        <v>-310.46559130891109</v>
      </c>
      <c r="T17" s="250">
        <f>'Immobilie als Kapitalanlage'!$C$29*12*(1+'Immobilie als Kapitalanlage'!$D$44)^A16</f>
        <v>-1080.5420089672887</v>
      </c>
      <c r="U17" s="250">
        <f>'Immobilie als Kapitalanlage'!$C$30*12*(1+'Immobilie als Kapitalanlage'!$D$44)^A16</f>
        <v>-456.56704604251627</v>
      </c>
      <c r="V17" s="250">
        <f>'Immobilie als Kapitalanlage'!$C$28*12*(1+'Immobilie als Kapitalanlage'!$D$44)^A16</f>
        <v>-776.16397827227775</v>
      </c>
      <c r="W17" s="241">
        <f>$W$5*(1+'Immobilie als Kapitalanlage'!$D$43)^A16</f>
        <v>12936.066304537962</v>
      </c>
      <c r="X17" s="241">
        <f>$X$5*(1+'Immobilie als Kapitalanlage'!$D$43)^A16</f>
        <v>14747.115587173274</v>
      </c>
      <c r="Y17" s="241">
        <f>-'Immobilie als Kapitalanlage'!$C$25*'Immobilie als Kapitalanlage'!$D$99</f>
        <v>0</v>
      </c>
      <c r="Z17" s="241">
        <f t="shared" si="7"/>
        <v>0</v>
      </c>
      <c r="AA17" s="241">
        <f>FV((((1+'Immobilie als Kapitalanlage'!$D$80)^(1/12)-1)),A17*12,Y17/12,-'Immobilie als Kapitalanlage'!$G$95,)</f>
        <v>0</v>
      </c>
      <c r="AB17" s="241">
        <f>$AB$5*(1+'Immobilie als Kapitalanlage'!$D$51)^A16</f>
        <v>101459.34356500363</v>
      </c>
      <c r="AC17" s="241">
        <f>IF(AND(AB17&gt;Steuern!$D$6,AB17&lt;Steuern!$D$10),INT((Steuern!$H$8*(AB17-Steuern!$D$6)/10000+Steuern!$I$8)*(AB17-Steuern!$D$6)/10000),IF(AND(AB17&gt;Steuern!$F$8,AB17&lt;Steuern!$D$12),INT((Steuern!$H$10*(AB17-Steuern!$F$8)/10000+Steuern!$I$10)*(AB17-Steuern!$F$8)/10000+Steuern!$J$10),IF(AND(AB17&gt;Steuern!$F$10,AB17&lt;Steuern!$D$14),INT(AB17*Steuern!$H$12-Steuern!$I$12),IF(AB17&gt;Steuern!$F$12,INT(AB17*Steuern!$H$14-Steuern!$I$14),0))))</f>
        <v>32639</v>
      </c>
      <c r="AD17" s="241">
        <f>IF(AND(AB17/2&gt;Steuern!$D$6,AB17/2&lt;Steuern!$D$10),INT((Steuern!$H$8*(AB17/2-Steuern!$D$8)/10000+Steuern!$I$8)*(AB17/2-Steuern!$D$6)/10000),IF(AND(AB17/2&gt;Steuern!$F$8,AB17/2&lt;Steuern!$D$12),INT((Steuern!$H$10*(AB17/2-Steuern!$F$8)/10000+Steuern!$I$10)*(AB17/2-Steuern!$F$8)/10000+Steuern!$J$10),IF(AND(AB17/2&gt;Steuern!$F$10,AB17/2&lt;Steuern!$D$14),INT(AB17/2*Steuern!$H$12-Steuern!$I$12),IF(AB17/2&gt;Steuern!$F$12,INT(AB17/2*Steuern!$H$14-Steuern!$I$14),0))))*2</f>
        <v>23228</v>
      </c>
      <c r="AE17" s="241">
        <f t="shared" si="8"/>
        <v>4411.5695254700186</v>
      </c>
      <c r="AF17" s="241">
        <f t="shared" si="9"/>
        <v>3336.1120303547323</v>
      </c>
      <c r="AG17" s="241">
        <f t="shared" si="10"/>
        <v>4411.5695254700186</v>
      </c>
      <c r="AH17" s="241">
        <f t="shared" si="11"/>
        <v>6222.6188081053297</v>
      </c>
      <c r="AI17" s="241">
        <f t="shared" si="12"/>
        <v>5147.1613129900434</v>
      </c>
      <c r="AJ17" s="241">
        <f t="shared" si="13"/>
        <v>6222.6188081053297</v>
      </c>
      <c r="AK17" s="248"/>
      <c r="AL17" s="241">
        <f>('Immobilie als Kapitalanlage'!$C$16+'Immobilie als Kapitalanlage'!$C$20+'Immobilie als Kapitalanlage'!$C$15)*(1-'Immobilie als Kapitalanlage'!$D$53)</f>
        <v>190858.5</v>
      </c>
      <c r="AM17" s="241">
        <f>AL17*'Immobilie als Kapitalanlage'!$D$52</f>
        <v>3817.17</v>
      </c>
      <c r="AN17" s="241">
        <f t="shared" si="14"/>
        <v>102053.74309047365</v>
      </c>
      <c r="AO17" s="241">
        <f>IF(AND(AN17&gt;Steuern!$D$6,AN17&lt;Steuern!$D$10),INT((#REF!*(AN17-Steuern!$D$8)/10000+Steuern!$I$8)*(AN17-Steuern!$D$6)/10000),IF(AND(AN17&gt;Steuern!$F$8,AN17&lt;Steuern!$D$12),INT((Steuern!$H$10*(AN17-Steuern!$F$8)/10000+Steuern!$I$10)*(AN17-Steuern!$F$8)/10000+Steuern!$J$10),IF(AND(AN17&gt;Steuern!$F$10,AN17&lt;Steuern!$D$14),INT(AN17*Steuern!$H$12-Steuern!$I$12),IF(AN17&gt;Steuern!$F$12,INT(AN17*Steuern!$H$14-Steuern!$I$14),0))))</f>
        <v>32889</v>
      </c>
      <c r="AP17" s="241">
        <f>IF(AND(AN17/2&gt;Steuern!$D$6,AN17/2&lt;Steuern!$D$10),INT((Steuern!$H$8*(AN17/2-Steuern!$D$8)/10000+Steuern!$I$8)*(AN17/2-Steuern!$D$6)/10000),IF(AND(AN17/2&gt;Steuern!$F$8,AN17/2&lt;Steuern!$D$12),INT((Steuern!$H$10*(AN17/2-Steuern!$F$8)/10000+Steuern!$I$10)*(AN17/2-Steuern!$F$8)/10000+Steuern!$J$10),IF(AND(AN17/2&gt;Steuern!$F$10,AN17/2&lt;Steuern!$D$14),INT(AN17/2*Steuern!$H$12-Steuern!$I$12),IF(AN17/2&gt;Steuern!$F$12,INT(AN17/2*Steuern!$H$14-Steuern!$I$14),0))))*2</f>
        <v>23450</v>
      </c>
      <c r="AQ17" s="241">
        <f t="shared" si="15"/>
        <v>100978.28559535836</v>
      </c>
      <c r="AR17" s="241">
        <f>IF(AND(AQ17&gt;Steuern!$D$6,AQ17&lt;Steuern!$D$10),INT((Steuern!$H$8*(AQ17-Steuern!$D$6)/10000+Steuern!$I$8)*(AQ17-Steuern!$D$6)/10000),IF(AND(AQ17&gt;Steuern!$F$8,AQ17&lt;Steuern!$D$12),INT((Steuern!$H$10*(AQ17-Steuern!$F$8)/10000+Steuern!$I$10)*(AQ17-Steuern!$F$8)/10000+Steuern!$J$10),IF(AND(AQ17&gt;Steuern!$F$10,AQ17&lt;Steuern!$D$14),INT(AQ17*Steuern!$H$12-Steuern!$I$12),IF(AQ17&gt;Steuern!$F$12,INT(AQ17*Steuern!$H$14-Steuern!$I$14),0))))</f>
        <v>32437</v>
      </c>
      <c r="AS17" s="241">
        <f t="shared" si="16"/>
        <v>102053.74309047365</v>
      </c>
      <c r="AT17" s="241">
        <f>IF(AND(AS17&gt;Steuern!$D$6,AS17&lt;Steuern!$D$10),INT((Steuern!$H$8*(AS17-Steuern!$D$6)/10000+Steuern!$I$8)*(AS17-Steuern!$D$6)/10000),IF(AND(AS17&gt;Steuern!$F$8,AS17&lt;Steuern!$D$12),INT((Steuern!$H$10*(AS17-Steuern!$F$8)/10000+Steuern!$I$10)*(AS17-Steuern!$F$8)/10000+Steuern!$J$10),IF(AND(AS17&gt;Steuern!$F$10,AS17&lt;Steuern!$D$14),INT(AS17*Steuern!$H$12-Steuern!$I$12),IF(AS17&gt;Steuern!$F$12,INT(AS17*Steuern!$H$14-Steuern!$I$14),0))))</f>
        <v>32889</v>
      </c>
      <c r="AU17" s="241">
        <f t="shared" si="17"/>
        <v>103864.79237310895</v>
      </c>
      <c r="AV17" s="241">
        <f>IF(AND(AU17&gt;Steuern!$D$6,AU17&lt;Steuern!$D$10),INT((Steuern!$H$8*(AU17-Steuern!$D$6)/10000+Steuern!$I$8)*(AU17-Steuern!$D$6)/10000),IF(AND(AU17&gt;Steuern!$F$8,AU17&lt;Steuern!$D$12),INT((Steuern!$H$10*(AU17-Steuern!$F$8)/10000+Steuern!$I$10)*(AU17-Steuern!$F$8)/10000+Steuern!$J$10),IF(AND(AU17&gt;Steuern!$F$10,AU17&lt;Steuern!$D$14),INT(AU17*Steuern!$H$12-Steuern!$I$12),IF(AU17&gt;Steuern!$F$12,INT(AU17*Steuern!$H$14-Steuern!$I$14),0))))</f>
        <v>33650</v>
      </c>
      <c r="AW17" s="241">
        <f>IF(AND(AU17/2&gt;Steuern!$D$6,AU17/2&lt;Steuern!$D$10),INT((Steuern!$H$8*(AU17/2-Steuern!$D$8)/10000+Steuern!$I$8)*(AU17/2-Steuern!$D$6)/10000),IF(AND(AU17/2&gt;Steuern!$F$8,AU17/2&lt;Steuern!$D$12),INT((Steuern!$H$10*(AU17/2-Steuern!$F$8)/10000+Steuern!$I$10)*(AU17/2-Steuern!$F$8)/10000+Steuern!$J$10),IF(AND(AU17/2&gt;Steuern!$F$10,AU17/2&lt;Steuern!$D$14),INT(AU17/2*Steuern!$H$12-Steuern!$I$12),IF(AU17/2&gt;Steuern!$F$12,INT(AU17/2*Steuern!$H$14-Steuern!$I$14),0))))*2</f>
        <v>24132</v>
      </c>
      <c r="AX17" s="241">
        <f t="shared" si="18"/>
        <v>102789.33487799366</v>
      </c>
      <c r="AY17" s="241">
        <f>IF(AND(AX17&gt;Steuern!$D$6,AX17&lt;Steuern!$D$10),INT((#REF!*(AX17-Steuern!$D$8)/10000+Steuern!$I$8)*(AX17-Steuern!$D$6)/10000),IF(AND(AX17&gt;Steuern!$F$8,AX17&lt;Steuern!$D$12),INT((Steuern!$H$10*(AX17-Steuern!$F$8)/10000+Steuern!$I$10)*(AX17-Steuern!$F$8)/10000+Steuern!$J$10),IF(AND(AX17&gt;Steuern!$F$10,AX17&lt;Steuern!$D$14),INT(AX17*Steuern!$H$12-Steuern!$I$12),IF(AX17&gt;Steuern!$F$12,INT(AX17*Steuern!$H$14-Steuern!$I$14),0))))</f>
        <v>33198</v>
      </c>
      <c r="AZ17" s="241">
        <f t="shared" si="19"/>
        <v>103864.79237310895</v>
      </c>
      <c r="BA17" s="241">
        <f>IF(AND(AZ17&gt;Steuern!$D$6,AZ17&lt;Steuern!$D$10),INT((#REF!*(AZ17-Steuern!$D$8)/10000+Steuern!$I$8)*(AZ17-Steuern!$D$6)/10000),IF(AND(AZ17&gt;Steuern!$F$8,AZ17&lt;Steuern!$D$12),INT((Steuern!$H$10*(AZ17-Steuern!$F$8)/10000+Steuern!$I$10)*(AZ17-Steuern!$F$8)/10000+Steuern!$J$10),IF(AND(AZ17&gt;Steuern!$F$10,AZ17&lt;Steuern!$D$14),INT(AZ17*Steuern!$H$12-Steuern!$I$12),IF(AZ17&gt;Steuern!$F$12,INT(AZ17*Steuern!$H$14-Steuern!$I$14),0))))</f>
        <v>33650</v>
      </c>
      <c r="BB17" s="241">
        <f t="shared" ref="BB17:BC17" si="107">AC17-AO17</f>
        <v>-250</v>
      </c>
      <c r="BC17" s="241">
        <f t="shared" si="107"/>
        <v>-222</v>
      </c>
      <c r="BD17" s="241">
        <f t="shared" si="21"/>
        <v>202</v>
      </c>
      <c r="BE17" s="241">
        <f t="shared" si="22"/>
        <v>-250</v>
      </c>
      <c r="BF17" s="241">
        <f t="shared" ref="BF17:BG17" si="108">AC17-AV17</f>
        <v>-1011</v>
      </c>
      <c r="BG17" s="241">
        <f t="shared" si="108"/>
        <v>-904</v>
      </c>
      <c r="BH17" s="241">
        <f t="shared" si="24"/>
        <v>-559</v>
      </c>
      <c r="BI17" s="241">
        <f t="shared" si="25"/>
        <v>-1011</v>
      </c>
      <c r="BJ17" s="241">
        <f t="shared" si="26"/>
        <v>-2387.6723200530323</v>
      </c>
      <c r="BK17" s="241">
        <f t="shared" si="27"/>
        <v>-2359.6723200530323</v>
      </c>
      <c r="BL17" s="241">
        <f t="shared" si="28"/>
        <v>-1747.0701864961775</v>
      </c>
      <c r="BM17" s="241">
        <f t="shared" si="29"/>
        <v>-2387.6723200530323</v>
      </c>
      <c r="BN17" s="241">
        <f t="shared" si="30"/>
        <v>-2387.6723200530323</v>
      </c>
      <c r="BO17" s="241">
        <f t="shared" si="31"/>
        <v>-57002.288322704611</v>
      </c>
      <c r="BP17" s="241">
        <f t="shared" si="32"/>
        <v>-2359.6723200530323</v>
      </c>
      <c r="BQ17" s="241">
        <f t="shared" si="33"/>
        <v>-58762.288322704611</v>
      </c>
      <c r="BR17" s="241">
        <f t="shared" si="34"/>
        <v>-1747.0701864961775</v>
      </c>
      <c r="BS17" s="241">
        <f t="shared" si="35"/>
        <v>-55107.481922034058</v>
      </c>
      <c r="BT17" s="241">
        <f t="shared" si="36"/>
        <v>-2387.6723200530323</v>
      </c>
      <c r="BU17" s="241">
        <f t="shared" si="37"/>
        <v>-57002.288322704611</v>
      </c>
      <c r="BV17" s="241">
        <f t="shared" si="38"/>
        <v>-1337.6230374177212</v>
      </c>
      <c r="BW17" s="241">
        <f t="shared" si="39"/>
        <v>-1230.6230374177212</v>
      </c>
      <c r="BX17" s="241">
        <f t="shared" si="40"/>
        <v>-697.02090386086638</v>
      </c>
      <c r="BY17" s="241">
        <f t="shared" si="41"/>
        <v>-1337.6230374177212</v>
      </c>
      <c r="BZ17" s="241">
        <f t="shared" si="42"/>
        <v>-1337.6230374177212</v>
      </c>
      <c r="CA17" s="241">
        <f t="shared" si="43"/>
        <v>-44842.774908303589</v>
      </c>
      <c r="CB17" s="241">
        <f t="shared" si="44"/>
        <v>-1230.6230374177212</v>
      </c>
      <c r="CC17" s="241">
        <f t="shared" si="45"/>
        <v>-45168.774908303589</v>
      </c>
      <c r="CD17" s="241">
        <f t="shared" si="46"/>
        <v>-697.02090386086638</v>
      </c>
      <c r="CE17" s="241">
        <f t="shared" si="47"/>
        <v>-42948.968507633035</v>
      </c>
      <c r="CF17" s="241">
        <f t="shared" si="48"/>
        <v>-1337.6230374177212</v>
      </c>
      <c r="CG17" s="241">
        <f t="shared" si="49"/>
        <v>-44842.774908303589</v>
      </c>
      <c r="CH17" s="248"/>
      <c r="CI17" s="249">
        <f t="shared" ca="1" si="64"/>
        <v>50284</v>
      </c>
      <c r="CJ17" s="241">
        <f t="shared" si="50"/>
        <v>-2387.6723200530323</v>
      </c>
      <c r="CK17" s="235"/>
      <c r="CL17" s="241">
        <f t="shared" si="52"/>
        <v>-2387.6723200530323</v>
      </c>
      <c r="CM17" s="241">
        <f t="shared" si="53"/>
        <v>-2387.6723200530323</v>
      </c>
      <c r="CN17" s="241">
        <f t="shared" si="54"/>
        <v>-2387.6723200530323</v>
      </c>
      <c r="CO17" s="248"/>
      <c r="CP17" s="241"/>
      <c r="CQ17" s="241"/>
      <c r="CR17" s="241"/>
      <c r="CS17" s="248"/>
      <c r="CT17" s="241"/>
      <c r="CU17" s="241"/>
      <c r="CV17" s="241"/>
      <c r="CW17" s="248"/>
      <c r="CX17" s="241"/>
      <c r="CY17" s="241"/>
      <c r="CZ17" s="241"/>
      <c r="DA17" s="241">
        <f t="shared" si="55"/>
        <v>-1337.6230374177212</v>
      </c>
      <c r="DB17" s="248"/>
      <c r="DC17" s="241">
        <f t="shared" si="57"/>
        <v>-1337.6230374177212</v>
      </c>
      <c r="DD17" s="241">
        <f t="shared" si="58"/>
        <v>-1337.6230374177212</v>
      </c>
      <c r="DE17" s="241">
        <f t="shared" si="59"/>
        <v>-1337.6230374177212</v>
      </c>
      <c r="DF17" s="248"/>
      <c r="DG17" s="241"/>
      <c r="DH17" s="241"/>
      <c r="DI17" s="241"/>
      <c r="DJ17" s="248"/>
      <c r="DK17" s="241"/>
      <c r="DL17" s="241"/>
      <c r="DM17" s="241"/>
      <c r="DN17" s="248"/>
      <c r="DO17" s="241"/>
      <c r="DP17" s="241"/>
      <c r="DQ17" s="241"/>
      <c r="DR17" s="241"/>
      <c r="DS17" s="241">
        <f t="shared" si="3"/>
        <v>-1337.6230374177212</v>
      </c>
    </row>
    <row r="18" spans="1:123" ht="15.6">
      <c r="A18" s="243">
        <v>14</v>
      </c>
      <c r="B18" s="244">
        <f>B17*(1+'Immobilie als Kapitalanlage'!$D$47)</f>
        <v>286219.07909616793</v>
      </c>
      <c r="C18" s="241">
        <f>$C$4*(1+'Immobilie als Kapitalanlage'!$D$47)^A18</f>
        <v>0</v>
      </c>
      <c r="D18" s="244">
        <f t="shared" si="69"/>
        <v>286219.07909616793</v>
      </c>
      <c r="E18" s="138"/>
      <c r="F18" s="245">
        <f>MAX(-FV('Immobilie als Kapitalanlage'!$D$26/12,A18*12,(-I18/12),'Immobilie als Kapitalanlage'!$C$25,0),0)</f>
        <v>181647.01475978355</v>
      </c>
      <c r="G18" s="245">
        <f>IF(I18-H18&gt;G17,F17*'Immobilie als Kapitalanlage'!$D$26,I18-H18)</f>
        <v>6471.5913438913703</v>
      </c>
      <c r="H18" s="241">
        <f t="shared" si="4"/>
        <v>5978.4086561086297</v>
      </c>
      <c r="I18" s="241">
        <f>$F$4*('Immobilie als Kapitalanlage'!$D$26+'Immobilie als Kapitalanlage'!$D$36)</f>
        <v>12450</v>
      </c>
      <c r="J18" s="245">
        <f>MAX((-FV('Immobilie als Kapitalanlage'!$C$85/12,(A18-$A$14)*12,(-M18/12),$J$14,0)),0)</f>
        <v>186659.4827531125</v>
      </c>
      <c r="K18" s="241">
        <f t="shared" si="98"/>
        <v>7568.6752677713794</v>
      </c>
      <c r="L18" s="241">
        <f t="shared" si="99"/>
        <v>4692.7225986717676</v>
      </c>
      <c r="M18" s="241">
        <f>$J$14*('Immobilie als Kapitalanlage'!$C$85+'Immobilie als Kapitalanlage'!$C$86)</f>
        <v>12261.397866443147</v>
      </c>
      <c r="N18" s="246">
        <f t="shared" ref="N18:Q18" si="109">F18</f>
        <v>181647.01475978355</v>
      </c>
      <c r="O18" s="246">
        <f t="shared" si="109"/>
        <v>6471.5913438913703</v>
      </c>
      <c r="P18" s="246">
        <f t="shared" si="109"/>
        <v>5978.4086561086297</v>
      </c>
      <c r="Q18" s="246">
        <f t="shared" si="109"/>
        <v>12450</v>
      </c>
      <c r="R18" s="250">
        <f t="shared" si="6"/>
        <v>-1884.52613924509</v>
      </c>
      <c r="S18" s="250">
        <f>'Immobilie als Kapitalanlage'!$C$27*12*(1+'Immobilie als Kapitalanlage'!$D$44)^A17</f>
        <v>-316.67490313508927</v>
      </c>
      <c r="T18" s="250">
        <f>'Immobilie als Kapitalanlage'!$C$29*12*(1+'Immobilie als Kapitalanlage'!$D$44)^A17</f>
        <v>-1102.1528491466343</v>
      </c>
      <c r="U18" s="250">
        <f>'Immobilie als Kapitalanlage'!$C$30*12*(1+'Immobilie als Kapitalanlage'!$D$44)^A17</f>
        <v>-465.6983869633666</v>
      </c>
      <c r="V18" s="250">
        <f>'Immobilie als Kapitalanlage'!$C$28*12*(1+'Immobilie als Kapitalanlage'!$D$44)^A17</f>
        <v>-791.68725783772322</v>
      </c>
      <c r="W18" s="241">
        <f>$W$5*(1+'Immobilie als Kapitalanlage'!$D$43)^A17</f>
        <v>13194.78763062872</v>
      </c>
      <c r="X18" s="241">
        <f>$X$5*(1+'Immobilie als Kapitalanlage'!$D$43)^A17</f>
        <v>15042.057898916739</v>
      </c>
      <c r="Y18" s="241">
        <f>-'Immobilie als Kapitalanlage'!$C$25*'Immobilie als Kapitalanlage'!$D$99</f>
        <v>0</v>
      </c>
      <c r="Z18" s="241">
        <f t="shared" si="7"/>
        <v>0</v>
      </c>
      <c r="AA18" s="241">
        <f>FV((((1+'Immobilie als Kapitalanlage'!$D$80)^(1/12)-1)),A18*12,Y18/12,-'Immobilie als Kapitalanlage'!$G$95,)</f>
        <v>0</v>
      </c>
      <c r="AB18" s="241">
        <f>$AB$5*(1+'Immobilie als Kapitalanlage'!$D$51)^A17</f>
        <v>103488.53043630368</v>
      </c>
      <c r="AC18" s="241">
        <f>IF(AND(AB18&gt;Steuern!$D$6,AB18&lt;Steuern!$D$10),INT((Steuern!$H$8*(AB18-Steuern!$D$6)/10000+Steuern!$I$8)*(AB18-Steuern!$D$6)/10000),IF(AND(AB18&gt;Steuern!$F$8,AB18&lt;Steuern!$D$12),INT((Steuern!$H$10*(AB18-Steuern!$F$8)/10000+Steuern!$I$10)*(AB18-Steuern!$F$8)/10000+Steuern!$J$10),IF(AND(AB18&gt;Steuern!$F$10,AB18&lt;Steuern!$D$14),INT(AB18*Steuern!$H$12-Steuern!$I$12),IF(AB18&gt;Steuern!$F$12,INT(AB18*Steuern!$H$14-Steuern!$I$14),0))))</f>
        <v>33492</v>
      </c>
      <c r="AD18" s="241">
        <f>IF(AND(AB18/2&gt;Steuern!$D$6,AB18/2&lt;Steuern!$D$10),INT((Steuern!$H$8*(AB18/2-Steuern!$D$8)/10000+Steuern!$I$8)*(AB18/2-Steuern!$D$6)/10000),IF(AND(AB18/2&gt;Steuern!$F$8,AB18/2&lt;Steuern!$D$12),INT((Steuern!$H$10*(AB18/2-Steuern!$F$8)/10000+Steuern!$I$10)*(AB18/2-Steuern!$F$8)/10000+Steuern!$J$10),IF(AND(AB18/2&gt;Steuern!$F$10,AB18/2&lt;Steuern!$D$14),INT(AB18/2*Steuern!$H$12-Steuern!$I$12),IF(AB18/2&gt;Steuern!$F$12,INT(AB18/2*Steuern!$H$14-Steuern!$I$14),0))))*2</f>
        <v>23990</v>
      </c>
      <c r="AE18" s="241">
        <f t="shared" si="8"/>
        <v>4838.6701474922593</v>
      </c>
      <c r="AF18" s="241">
        <f t="shared" si="9"/>
        <v>3741.5862236122503</v>
      </c>
      <c r="AG18" s="241">
        <f t="shared" si="10"/>
        <v>4838.6701474922593</v>
      </c>
      <c r="AH18" s="241">
        <f t="shared" si="11"/>
        <v>6685.9404157802783</v>
      </c>
      <c r="AI18" s="241">
        <f t="shared" si="12"/>
        <v>5588.8564919002692</v>
      </c>
      <c r="AJ18" s="241">
        <f t="shared" si="13"/>
        <v>6685.9404157802783</v>
      </c>
      <c r="AK18" s="248"/>
      <c r="AL18" s="241">
        <f>('Immobilie als Kapitalanlage'!$C$16+'Immobilie als Kapitalanlage'!$C$20+'Immobilie als Kapitalanlage'!$C$15)*(1-'Immobilie als Kapitalanlage'!$D$53)</f>
        <v>190858.5</v>
      </c>
      <c r="AM18" s="241">
        <f>AL18*'Immobilie als Kapitalanlage'!$D$52</f>
        <v>3817.17</v>
      </c>
      <c r="AN18" s="241">
        <f t="shared" si="14"/>
        <v>104510.03058379595</v>
      </c>
      <c r="AO18" s="241">
        <f>IF(AND(AN18&gt;Steuern!$D$6,AN18&lt;Steuern!$D$10),INT((#REF!*(AN18-Steuern!$D$8)/10000+Steuern!$I$8)*(AN18-Steuern!$D$6)/10000),IF(AND(AN18&gt;Steuern!$F$8,AN18&lt;Steuern!$D$12),INT((Steuern!$H$10*(AN18-Steuern!$F$8)/10000+Steuern!$I$10)*(AN18-Steuern!$F$8)/10000+Steuern!$J$10),IF(AND(AN18&gt;Steuern!$F$10,AN18&lt;Steuern!$D$14),INT(AN18*Steuern!$H$12-Steuern!$I$12),IF(AN18&gt;Steuern!$F$12,INT(AN18*Steuern!$H$14-Steuern!$I$14),0))))</f>
        <v>33921</v>
      </c>
      <c r="AP18" s="241">
        <f>IF(AND(AN18/2&gt;Steuern!$D$6,AN18/2&lt;Steuern!$D$10),INT((Steuern!$H$8*(AN18/2-Steuern!$D$8)/10000+Steuern!$I$8)*(AN18/2-Steuern!$D$6)/10000),IF(AND(AN18/2&gt;Steuern!$F$8,AN18/2&lt;Steuern!$D$12),INT((Steuern!$H$10*(AN18/2-Steuern!$F$8)/10000+Steuern!$I$10)*(AN18/2-Steuern!$F$8)/10000+Steuern!$J$10),IF(AND(AN18/2&gt;Steuern!$F$10,AN18/2&lt;Steuern!$D$14),INT(AN18/2*Steuern!$H$12-Steuern!$I$12),IF(AN18/2&gt;Steuern!$F$12,INT(AN18/2*Steuern!$H$14-Steuern!$I$14),0))))*2</f>
        <v>24376</v>
      </c>
      <c r="AQ18" s="241">
        <f t="shared" si="15"/>
        <v>103412.94665991594</v>
      </c>
      <c r="AR18" s="241">
        <f>IF(AND(AQ18&gt;Steuern!$D$6,AQ18&lt;Steuern!$D$10),INT((Steuern!$H$8*(AQ18-Steuern!$D$6)/10000+Steuern!$I$8)*(AQ18-Steuern!$D$6)/10000),IF(AND(AQ18&gt;Steuern!$F$8,AQ18&lt;Steuern!$D$12),INT((Steuern!$H$10*(AQ18-Steuern!$F$8)/10000+Steuern!$I$10)*(AQ18-Steuern!$F$8)/10000+Steuern!$J$10),IF(AND(AQ18&gt;Steuern!$F$10,AQ18&lt;Steuern!$D$14),INT(AQ18*Steuern!$H$12-Steuern!$I$12),IF(AQ18&gt;Steuern!$F$12,INT(AQ18*Steuern!$H$14-Steuern!$I$14),0))))</f>
        <v>33460</v>
      </c>
      <c r="AS18" s="241">
        <f t="shared" si="16"/>
        <v>104510.03058379595</v>
      </c>
      <c r="AT18" s="241">
        <f>IF(AND(AS18&gt;Steuern!$D$6,AS18&lt;Steuern!$D$10),INT((Steuern!$H$8*(AS18-Steuern!$D$6)/10000+Steuern!$I$8)*(AS18-Steuern!$D$6)/10000),IF(AND(AS18&gt;Steuern!$F$8,AS18&lt;Steuern!$D$12),INT((Steuern!$H$10*(AS18-Steuern!$F$8)/10000+Steuern!$I$10)*(AS18-Steuern!$F$8)/10000+Steuern!$J$10),IF(AND(AS18&gt;Steuern!$F$10,AS18&lt;Steuern!$D$14),INT(AS18*Steuern!$H$12-Steuern!$I$12),IF(AS18&gt;Steuern!$F$12,INT(AS18*Steuern!$H$14-Steuern!$I$14),0))))</f>
        <v>33921</v>
      </c>
      <c r="AU18" s="241">
        <f t="shared" si="17"/>
        <v>106357.30085208396</v>
      </c>
      <c r="AV18" s="241">
        <f>IF(AND(AU18&gt;Steuern!$D$6,AU18&lt;Steuern!$D$10),INT((Steuern!$H$8*(AU18-Steuern!$D$6)/10000+Steuern!$I$8)*(AU18-Steuern!$D$6)/10000),IF(AND(AU18&gt;Steuern!$F$8,AU18&lt;Steuern!$D$12),INT((Steuern!$H$10*(AU18-Steuern!$F$8)/10000+Steuern!$I$10)*(AU18-Steuern!$F$8)/10000+Steuern!$J$10),IF(AND(AU18&gt;Steuern!$F$10,AU18&lt;Steuern!$D$14),INT(AU18*Steuern!$H$12-Steuern!$I$12),IF(AU18&gt;Steuern!$F$12,INT(AU18*Steuern!$H$14-Steuern!$I$14),0))))</f>
        <v>34697</v>
      </c>
      <c r="AW18" s="241">
        <f>IF(AND(AU18/2&gt;Steuern!$D$6,AU18/2&lt;Steuern!$D$10),INT((Steuern!$H$8*(AU18/2-Steuern!$D$8)/10000+Steuern!$I$8)*(AU18/2-Steuern!$D$6)/10000),IF(AND(AU18/2&gt;Steuern!$F$8,AU18/2&lt;Steuern!$D$12),INT((Steuern!$H$10*(AU18/2-Steuern!$F$8)/10000+Steuern!$I$10)*(AU18/2-Steuern!$F$8)/10000+Steuern!$J$10),IF(AND(AU18/2&gt;Steuern!$F$10,AU18/2&lt;Steuern!$D$14),INT(AU18/2*Steuern!$H$12-Steuern!$I$12),IF(AU18/2&gt;Steuern!$F$12,INT(AU18/2*Steuern!$H$14-Steuern!$I$14),0))))*2</f>
        <v>25080</v>
      </c>
      <c r="AX18" s="241">
        <f t="shared" si="18"/>
        <v>105260.21692820395</v>
      </c>
      <c r="AY18" s="241">
        <f>IF(AND(AX18&gt;Steuern!$D$6,AX18&lt;Steuern!$D$10),INT((#REF!*(AX18-Steuern!$D$8)/10000+Steuern!$I$8)*(AX18-Steuern!$D$6)/10000),IF(AND(AX18&gt;Steuern!$F$8,AX18&lt;Steuern!$D$12),INT((Steuern!$H$10*(AX18-Steuern!$F$8)/10000+Steuern!$I$10)*(AX18-Steuern!$F$8)/10000+Steuern!$J$10),IF(AND(AX18&gt;Steuern!$F$10,AX18&lt;Steuern!$D$14),INT(AX18*Steuern!$H$12-Steuern!$I$12),IF(AX18&gt;Steuern!$F$12,INT(AX18*Steuern!$H$14-Steuern!$I$14),0))))</f>
        <v>34236</v>
      </c>
      <c r="AZ18" s="241">
        <f t="shared" si="19"/>
        <v>106357.30085208396</v>
      </c>
      <c r="BA18" s="241">
        <f>IF(AND(AZ18&gt;Steuern!$D$6,AZ18&lt;Steuern!$D$10),INT((#REF!*(AZ18-Steuern!$D$8)/10000+Steuern!$I$8)*(AZ18-Steuern!$D$6)/10000),IF(AND(AZ18&gt;Steuern!$F$8,AZ18&lt;Steuern!$D$12),INT((Steuern!$H$10*(AZ18-Steuern!$F$8)/10000+Steuern!$I$10)*(AZ18-Steuern!$F$8)/10000+Steuern!$J$10),IF(AND(AZ18&gt;Steuern!$F$10,AZ18&lt;Steuern!$D$14),INT(AZ18*Steuern!$H$12-Steuern!$I$12),IF(AZ18&gt;Steuern!$F$12,INT(AZ18*Steuern!$H$14-Steuern!$I$14),0))))</f>
        <v>34697</v>
      </c>
      <c r="BB18" s="241">
        <f t="shared" ref="BB18:BC18" si="110">AC18-AO18</f>
        <v>-429</v>
      </c>
      <c r="BC18" s="241">
        <f t="shared" si="110"/>
        <v>-386</v>
      </c>
      <c r="BD18" s="241">
        <f t="shared" si="21"/>
        <v>32</v>
      </c>
      <c r="BE18" s="241">
        <f t="shared" si="22"/>
        <v>-429</v>
      </c>
      <c r="BF18" s="241">
        <f t="shared" ref="BF18:BG18" si="111">AC18-AV18</f>
        <v>-1205</v>
      </c>
      <c r="BG18" s="241">
        <f t="shared" si="111"/>
        <v>-1090</v>
      </c>
      <c r="BH18" s="241">
        <f t="shared" si="24"/>
        <v>-744</v>
      </c>
      <c r="BI18" s="241">
        <f t="shared" si="25"/>
        <v>-1205</v>
      </c>
      <c r="BJ18" s="241">
        <f t="shared" si="26"/>
        <v>-2360.4257664540928</v>
      </c>
      <c r="BK18" s="241">
        <f t="shared" si="27"/>
        <v>-2317.4257664540928</v>
      </c>
      <c r="BL18" s="241">
        <f t="shared" si="28"/>
        <v>-1710.8236328972398</v>
      </c>
      <c r="BM18" s="241">
        <f t="shared" si="29"/>
        <v>-2360.4257664540928</v>
      </c>
      <c r="BN18" s="241">
        <f t="shared" si="30"/>
        <v>-2360.4257664540928</v>
      </c>
      <c r="BO18" s="241">
        <f t="shared" si="31"/>
        <v>-59362.714089158704</v>
      </c>
      <c r="BP18" s="241">
        <f t="shared" si="32"/>
        <v>-2317.4257664540928</v>
      </c>
      <c r="BQ18" s="241">
        <f t="shared" si="33"/>
        <v>-61079.714089158704</v>
      </c>
      <c r="BR18" s="241">
        <f t="shared" si="34"/>
        <v>-1710.8236328972398</v>
      </c>
      <c r="BS18" s="241">
        <f t="shared" si="35"/>
        <v>-56818.305554931299</v>
      </c>
      <c r="BT18" s="241">
        <f t="shared" si="36"/>
        <v>-2360.4257664540928</v>
      </c>
      <c r="BU18" s="241">
        <f t="shared" si="37"/>
        <v>-59362.714089158704</v>
      </c>
      <c r="BV18" s="241">
        <f t="shared" si="38"/>
        <v>-1289.1554981660738</v>
      </c>
      <c r="BW18" s="241">
        <f t="shared" si="39"/>
        <v>-1174.1554981660738</v>
      </c>
      <c r="BX18" s="241">
        <f t="shared" si="40"/>
        <v>-639.55336460922081</v>
      </c>
      <c r="BY18" s="241">
        <f t="shared" si="41"/>
        <v>-1289.1554981660738</v>
      </c>
      <c r="BZ18" s="241">
        <f t="shared" si="42"/>
        <v>-1289.1554981660738</v>
      </c>
      <c r="CA18" s="241">
        <f t="shared" si="43"/>
        <v>-46131.930406469663</v>
      </c>
      <c r="CB18" s="241">
        <f t="shared" si="44"/>
        <v>-1174.1554981660738</v>
      </c>
      <c r="CC18" s="241">
        <f t="shared" si="45"/>
        <v>-46342.930406469663</v>
      </c>
      <c r="CD18" s="241">
        <f t="shared" si="46"/>
        <v>-639.55336460922081</v>
      </c>
      <c r="CE18" s="241">
        <f t="shared" si="47"/>
        <v>-43588.521872242258</v>
      </c>
      <c r="CF18" s="241">
        <f t="shared" si="48"/>
        <v>-1289.1554981660738</v>
      </c>
      <c r="CG18" s="241">
        <f t="shared" si="49"/>
        <v>-46131.930406469663</v>
      </c>
      <c r="CH18" s="248"/>
      <c r="CI18" s="249">
        <f t="shared" ca="1" si="64"/>
        <v>50649</v>
      </c>
      <c r="CJ18" s="241">
        <f t="shared" si="50"/>
        <v>-2360.4257664540928</v>
      </c>
      <c r="CK18" s="138"/>
      <c r="CL18" s="241">
        <f t="shared" si="52"/>
        <v>-2360.4257664540928</v>
      </c>
      <c r="CM18" s="241">
        <f t="shared" si="53"/>
        <v>-2360.4257664540928</v>
      </c>
      <c r="CN18" s="241">
        <f t="shared" si="54"/>
        <v>-2360.4257664540928</v>
      </c>
      <c r="CO18" s="255"/>
      <c r="CP18" s="241"/>
      <c r="CQ18" s="241"/>
      <c r="CR18" s="241"/>
      <c r="CS18" s="255"/>
      <c r="CT18" s="241"/>
      <c r="CU18" s="241"/>
      <c r="CV18" s="241"/>
      <c r="CW18" s="255"/>
      <c r="CX18" s="241"/>
      <c r="CY18" s="241"/>
      <c r="CZ18" s="241"/>
      <c r="DA18" s="241">
        <f t="shared" si="55"/>
        <v>-1289.1554981660738</v>
      </c>
      <c r="DB18" s="255"/>
      <c r="DC18" s="241">
        <f t="shared" si="57"/>
        <v>-1289.1554981660738</v>
      </c>
      <c r="DD18" s="241">
        <f t="shared" si="58"/>
        <v>-1289.1554981660738</v>
      </c>
      <c r="DE18" s="241">
        <f t="shared" si="59"/>
        <v>-1289.1554981660738</v>
      </c>
      <c r="DF18" s="255"/>
      <c r="DG18" s="241"/>
      <c r="DH18" s="241"/>
      <c r="DI18" s="241"/>
      <c r="DJ18" s="255"/>
      <c r="DK18" s="241"/>
      <c r="DL18" s="241"/>
      <c r="DM18" s="241"/>
      <c r="DN18" s="255"/>
      <c r="DO18" s="241"/>
      <c r="DP18" s="241"/>
      <c r="DQ18" s="241"/>
      <c r="DR18" s="241"/>
      <c r="DS18" s="241">
        <f t="shared" si="3"/>
        <v>-1289.1554981660738</v>
      </c>
    </row>
    <row r="19" spans="1:123" ht="15.6">
      <c r="A19" s="243">
        <v>15</v>
      </c>
      <c r="B19" s="244">
        <f>B18*(1+'Immobilie als Kapitalanlage'!$D$47)</f>
        <v>289081.2698871296</v>
      </c>
      <c r="C19" s="241">
        <f>$C$4*(1+'Immobilie als Kapitalanlage'!$D$47)^A19</f>
        <v>0</v>
      </c>
      <c r="D19" s="244">
        <f t="shared" si="69"/>
        <v>289081.2698871296</v>
      </c>
      <c r="E19" s="138"/>
      <c r="F19" s="245">
        <f>MAX(-FV('Immobilie als Kapitalanlage'!$D$26/12,A19*12,(-I19/12),'Immobilie als Kapitalanlage'!$C$25,0),0)</f>
        <v>175455.9723243113</v>
      </c>
      <c r="G19" s="245">
        <f>IF(I19-H19&gt;G18,F18*'Immobilie als Kapitalanlage'!$D$26,I19-H19)</f>
        <v>6258.9575645277509</v>
      </c>
      <c r="H19" s="241">
        <f t="shared" si="4"/>
        <v>6191.0424354722491</v>
      </c>
      <c r="I19" s="241">
        <f>$F$4*('Immobilie als Kapitalanlage'!$D$26+'Immobilie als Kapitalanlage'!$D$36)</f>
        <v>12450</v>
      </c>
      <c r="J19" s="245">
        <f>MAX((-FV('Immobilie als Kapitalanlage'!$C$85/12,(A19-$A$14)*12,(-M19/12),$J$14,0)),0)</f>
        <v>181775.57139527629</v>
      </c>
      <c r="K19" s="241">
        <f t="shared" si="98"/>
        <v>7377.4865086069312</v>
      </c>
      <c r="L19" s="241">
        <f t="shared" si="99"/>
        <v>4883.9113578362158</v>
      </c>
      <c r="M19" s="241">
        <f>$J$14*('Immobilie als Kapitalanlage'!$C$85+'Immobilie als Kapitalanlage'!$C$86)</f>
        <v>12261.397866443147</v>
      </c>
      <c r="N19" s="246">
        <f t="shared" ref="N19:Q19" si="112">F19</f>
        <v>175455.9723243113</v>
      </c>
      <c r="O19" s="246">
        <f t="shared" si="112"/>
        <v>6258.9575645277509</v>
      </c>
      <c r="P19" s="246">
        <f t="shared" si="112"/>
        <v>6191.0424354722491</v>
      </c>
      <c r="Q19" s="246">
        <f t="shared" si="112"/>
        <v>12450</v>
      </c>
      <c r="R19" s="250">
        <f t="shared" si="6"/>
        <v>-1922.216662029992</v>
      </c>
      <c r="S19" s="250">
        <f>'Immobilie als Kapitalanlage'!$C$27*12*(1+'Immobilie als Kapitalanlage'!$D$44)^A18</f>
        <v>-323.0084011977911</v>
      </c>
      <c r="T19" s="250">
        <f>'Immobilie als Kapitalanlage'!$C$29*12*(1+'Immobilie als Kapitalanlage'!$D$44)^A18</f>
        <v>-1124.195906129567</v>
      </c>
      <c r="U19" s="250">
        <f>'Immobilie als Kapitalanlage'!$C$30*12*(1+'Immobilie als Kapitalanlage'!$D$44)^A18</f>
        <v>-475.01235470263396</v>
      </c>
      <c r="V19" s="250">
        <f>'Immobilie als Kapitalanlage'!$C$28*12*(1+'Immobilie als Kapitalanlage'!$D$44)^A18</f>
        <v>-807.52100299447773</v>
      </c>
      <c r="W19" s="241">
        <f>$W$5*(1+'Immobilie als Kapitalanlage'!$D$43)^A18</f>
        <v>13458.683383241296</v>
      </c>
      <c r="X19" s="241">
        <f>$X$5*(1+'Immobilie als Kapitalanlage'!$D$43)^A18</f>
        <v>15342.899056895076</v>
      </c>
      <c r="Y19" s="241">
        <f>-'Immobilie als Kapitalanlage'!$C$25*'Immobilie als Kapitalanlage'!$D$99</f>
        <v>0</v>
      </c>
      <c r="Z19" s="241">
        <f t="shared" si="7"/>
        <v>0</v>
      </c>
      <c r="AA19" s="241">
        <f>FV((((1+'Immobilie als Kapitalanlage'!$D$80)^(1/12)-1)),A19*12,Y19/12,-'Immobilie als Kapitalanlage'!$G$95,)</f>
        <v>0</v>
      </c>
      <c r="AB19" s="241">
        <f>$AB$5*(1+'Immobilie als Kapitalanlage'!$D$51)^A18</f>
        <v>105558.30104502977</v>
      </c>
      <c r="AC19" s="241">
        <f>IF(AND(AB19&gt;Steuern!$D$6,AB19&lt;Steuern!$D$10),INT((Steuern!$H$8*(AB19-Steuern!$D$6)/10000+Steuern!$I$8)*(AB19-Steuern!$D$6)/10000),IF(AND(AB19&gt;Steuern!$F$8,AB19&lt;Steuern!$D$12),INT((Steuern!$H$10*(AB19-Steuern!$F$8)/10000+Steuern!$I$10)*(AB19-Steuern!$F$8)/10000+Steuern!$J$10),IF(AND(AB19&gt;Steuern!$F$10,AB19&lt;Steuern!$D$14),INT(AB19*Steuern!$H$12-Steuern!$I$12),IF(AB19&gt;Steuern!$F$12,INT(AB19*Steuern!$H$14-Steuern!$I$14),0))))</f>
        <v>34361</v>
      </c>
      <c r="AD19" s="241">
        <f>IF(AND(AB19/2&gt;Steuern!$D$6,AB19/2&lt;Steuern!$D$10),INT((Steuern!$H$8*(AB19/2-Steuern!$D$8)/10000+Steuern!$I$8)*(AB19/2-Steuern!$D$6)/10000),IF(AND(AB19/2&gt;Steuern!$F$8,AB19/2&lt;Steuern!$D$12),INT((Steuern!$H$10*(AB19/2-Steuern!$F$8)/10000+Steuern!$I$10)*(AB19/2-Steuern!$F$8)/10000+Steuern!$J$10),IF(AND(AB19/2&gt;Steuern!$F$10,AB19/2&lt;Steuern!$D$14),INT(AB19/2*Steuern!$H$12-Steuern!$I$12),IF(AB19/2&gt;Steuern!$F$12,INT(AB19/2*Steuern!$H$14-Steuern!$I$14),0))))*2</f>
        <v>24776</v>
      </c>
      <c r="AE19" s="241">
        <f t="shared" si="8"/>
        <v>5277.5091566835526</v>
      </c>
      <c r="AF19" s="241">
        <f t="shared" si="9"/>
        <v>4158.9802126043724</v>
      </c>
      <c r="AG19" s="241">
        <f t="shared" si="10"/>
        <v>5277.5091566835526</v>
      </c>
      <c r="AH19" s="241">
        <f t="shared" si="11"/>
        <v>7161.7248303373326</v>
      </c>
      <c r="AI19" s="241">
        <f t="shared" si="12"/>
        <v>6043.1958862581523</v>
      </c>
      <c r="AJ19" s="241">
        <f t="shared" si="13"/>
        <v>7161.7248303373326</v>
      </c>
      <c r="AK19" s="248"/>
      <c r="AL19" s="241">
        <f>('Immobilie als Kapitalanlage'!$C$16+'Immobilie als Kapitalanlage'!$C$20+'Immobilie als Kapitalanlage'!$C$15)*(1-'Immobilie als Kapitalanlage'!$D$53)</f>
        <v>190858.5</v>
      </c>
      <c r="AM19" s="241">
        <f>AL19*'Immobilie als Kapitalanlage'!$D$52</f>
        <v>3817.17</v>
      </c>
      <c r="AN19" s="241">
        <f t="shared" si="14"/>
        <v>107018.64020171332</v>
      </c>
      <c r="AO19" s="241">
        <f>IF(AND(AN19&gt;Steuern!$D$6,AN19&lt;Steuern!$D$10),INT((#REF!*(AN19-Steuern!$D$8)/10000+Steuern!$I$8)*(AN19-Steuern!$D$6)/10000),IF(AND(AN19&gt;Steuern!$F$8,AN19&lt;Steuern!$D$12),INT((Steuern!$H$10*(AN19-Steuern!$F$8)/10000+Steuern!$I$10)*(AN19-Steuern!$F$8)/10000+Steuern!$J$10),IF(AND(AN19&gt;Steuern!$F$10,AN19&lt;Steuern!$D$14),INT(AN19*Steuern!$H$12-Steuern!$I$12),IF(AN19&gt;Steuern!$F$12,INT(AN19*Steuern!$H$14-Steuern!$I$14),0))))</f>
        <v>34974</v>
      </c>
      <c r="AP19" s="241">
        <f>IF(AND(AN19/2&gt;Steuern!$D$6,AN19/2&lt;Steuern!$D$10),INT((Steuern!$H$8*(AN19/2-Steuern!$D$8)/10000+Steuern!$I$8)*(AN19/2-Steuern!$D$6)/10000),IF(AND(AN19/2&gt;Steuern!$F$8,AN19/2&lt;Steuern!$D$12),INT((Steuern!$H$10*(AN19/2-Steuern!$F$8)/10000+Steuern!$I$10)*(AN19/2-Steuern!$F$8)/10000+Steuern!$J$10),IF(AND(AN19/2&gt;Steuern!$F$10,AN19/2&lt;Steuern!$D$14),INT(AN19/2*Steuern!$H$12-Steuern!$I$12),IF(AN19/2&gt;Steuern!$F$12,INT(AN19/2*Steuern!$H$14-Steuern!$I$14),0))))*2</f>
        <v>25334</v>
      </c>
      <c r="AQ19" s="241">
        <f t="shared" si="15"/>
        <v>105900.11125763414</v>
      </c>
      <c r="AR19" s="241">
        <f>IF(AND(AQ19&gt;Steuern!$D$6,AQ19&lt;Steuern!$D$10),INT((Steuern!$H$8*(AQ19-Steuern!$D$6)/10000+Steuern!$I$8)*(AQ19-Steuern!$D$6)/10000),IF(AND(AQ19&gt;Steuern!$F$8,AQ19&lt;Steuern!$D$12),INT((Steuern!$H$10*(AQ19-Steuern!$F$8)/10000+Steuern!$I$10)*(AQ19-Steuern!$F$8)/10000+Steuern!$J$10),IF(AND(AQ19&gt;Steuern!$F$10,AQ19&lt;Steuern!$D$14),INT(AQ19*Steuern!$H$12-Steuern!$I$12),IF(AQ19&gt;Steuern!$F$12,INT(AQ19*Steuern!$H$14-Steuern!$I$14),0))))</f>
        <v>34505</v>
      </c>
      <c r="AS19" s="241">
        <f t="shared" si="16"/>
        <v>107018.64020171332</v>
      </c>
      <c r="AT19" s="241">
        <f>IF(AND(AS19&gt;Steuern!$D$6,AS19&lt;Steuern!$D$10),INT((Steuern!$H$8*(AS19-Steuern!$D$6)/10000+Steuern!$I$8)*(AS19-Steuern!$D$6)/10000),IF(AND(AS19&gt;Steuern!$F$8,AS19&lt;Steuern!$D$12),INT((Steuern!$H$10*(AS19-Steuern!$F$8)/10000+Steuern!$I$10)*(AS19-Steuern!$F$8)/10000+Steuern!$J$10),IF(AND(AS19&gt;Steuern!$F$10,AS19&lt;Steuern!$D$14),INT(AS19*Steuern!$H$12-Steuern!$I$12),IF(AS19&gt;Steuern!$F$12,INT(AS19*Steuern!$H$14-Steuern!$I$14),0))))</f>
        <v>34974</v>
      </c>
      <c r="AU19" s="241">
        <f t="shared" si="17"/>
        <v>108902.85587536711</v>
      </c>
      <c r="AV19" s="241">
        <f>IF(AND(AU19&gt;Steuern!$D$6,AU19&lt;Steuern!$D$10),INT((Steuern!$H$8*(AU19-Steuern!$D$6)/10000+Steuern!$I$8)*(AU19-Steuern!$D$6)/10000),IF(AND(AU19&gt;Steuern!$F$8,AU19&lt;Steuern!$D$12),INT((Steuern!$H$10*(AU19-Steuern!$F$8)/10000+Steuern!$I$10)*(AU19-Steuern!$F$8)/10000+Steuern!$J$10),IF(AND(AU19&gt;Steuern!$F$10,AU19&lt;Steuern!$D$14),INT(AU19*Steuern!$H$12-Steuern!$I$12),IF(AU19&gt;Steuern!$F$12,INT(AU19*Steuern!$H$14-Steuern!$I$14),0))))</f>
        <v>35766</v>
      </c>
      <c r="AW19" s="241">
        <f>IF(AND(AU19/2&gt;Steuern!$D$6,AU19/2&lt;Steuern!$D$10),INT((Steuern!$H$8*(AU19/2-Steuern!$D$8)/10000+Steuern!$I$8)*(AU19/2-Steuern!$D$6)/10000),IF(AND(AU19/2&gt;Steuern!$F$8,AU19/2&lt;Steuern!$D$12),INT((Steuern!$H$10*(AU19/2-Steuern!$F$8)/10000+Steuern!$I$10)*(AU19/2-Steuern!$F$8)/10000+Steuern!$J$10),IF(AND(AU19/2&gt;Steuern!$F$10,AU19/2&lt;Steuern!$D$14),INT(AU19/2*Steuern!$H$12-Steuern!$I$12),IF(AU19/2&gt;Steuern!$F$12,INT(AU19/2*Steuern!$H$14-Steuern!$I$14),0))))*2</f>
        <v>26062</v>
      </c>
      <c r="AX19" s="241">
        <f t="shared" si="18"/>
        <v>107784.32693128793</v>
      </c>
      <c r="AY19" s="241">
        <f>IF(AND(AX19&gt;Steuern!$D$6,AX19&lt;Steuern!$D$10),INT((#REF!*(AX19-Steuern!$D$8)/10000+Steuern!$I$8)*(AX19-Steuern!$D$6)/10000),IF(AND(AX19&gt;Steuern!$F$8,AX19&lt;Steuern!$D$12),INT((Steuern!$H$10*(AX19-Steuern!$F$8)/10000+Steuern!$I$10)*(AX19-Steuern!$F$8)/10000+Steuern!$J$10),IF(AND(AX19&gt;Steuern!$F$10,AX19&lt;Steuern!$D$14),INT(AX19*Steuern!$H$12-Steuern!$I$12),IF(AX19&gt;Steuern!$F$12,INT(AX19*Steuern!$H$14-Steuern!$I$14),0))))</f>
        <v>35296</v>
      </c>
      <c r="AZ19" s="241">
        <f t="shared" si="19"/>
        <v>108902.85587536711</v>
      </c>
      <c r="BA19" s="241">
        <f>IF(AND(AZ19&gt;Steuern!$D$6,AZ19&lt;Steuern!$D$10),INT((#REF!*(AZ19-Steuern!$D$8)/10000+Steuern!$I$8)*(AZ19-Steuern!$D$6)/10000),IF(AND(AZ19&gt;Steuern!$F$8,AZ19&lt;Steuern!$D$12),INT((Steuern!$H$10*(AZ19-Steuern!$F$8)/10000+Steuern!$I$10)*(AZ19-Steuern!$F$8)/10000+Steuern!$J$10),IF(AND(AZ19&gt;Steuern!$F$10,AZ19&lt;Steuern!$D$14),INT(AZ19*Steuern!$H$12-Steuern!$I$12),IF(AZ19&gt;Steuern!$F$12,INT(AZ19*Steuern!$H$14-Steuern!$I$14),0))))</f>
        <v>35766</v>
      </c>
      <c r="BB19" s="241">
        <f t="shared" ref="BB19:BC19" si="113">AC19-AO19</f>
        <v>-613</v>
      </c>
      <c r="BC19" s="241">
        <f t="shared" si="113"/>
        <v>-558</v>
      </c>
      <c r="BD19" s="241">
        <f t="shared" si="21"/>
        <v>-144</v>
      </c>
      <c r="BE19" s="241">
        <f t="shared" si="22"/>
        <v>-613</v>
      </c>
      <c r="BF19" s="241">
        <f t="shared" ref="BF19:BG19" si="114">AC19-AV19</f>
        <v>-1405</v>
      </c>
      <c r="BG19" s="241">
        <f t="shared" si="114"/>
        <v>-1286</v>
      </c>
      <c r="BH19" s="241">
        <f t="shared" si="24"/>
        <v>-935</v>
      </c>
      <c r="BI19" s="241">
        <f t="shared" si="25"/>
        <v>-1405</v>
      </c>
      <c r="BJ19" s="241">
        <f t="shared" si="26"/>
        <v>-2334.0542817831738</v>
      </c>
      <c r="BK19" s="241">
        <f t="shared" si="27"/>
        <v>-2279.0542817831738</v>
      </c>
      <c r="BL19" s="241">
        <f t="shared" si="28"/>
        <v>-1676.4521482263208</v>
      </c>
      <c r="BM19" s="241">
        <f t="shared" si="29"/>
        <v>-2334.0542817831738</v>
      </c>
      <c r="BN19" s="241">
        <f t="shared" si="30"/>
        <v>-2334.0542817831738</v>
      </c>
      <c r="BO19" s="241">
        <f t="shared" si="31"/>
        <v>-61696.768370941878</v>
      </c>
      <c r="BP19" s="241">
        <f t="shared" si="32"/>
        <v>-2279.0542817831738</v>
      </c>
      <c r="BQ19" s="241">
        <f t="shared" si="33"/>
        <v>-63358.768370941878</v>
      </c>
      <c r="BR19" s="241">
        <f t="shared" si="34"/>
        <v>-1676.4521482263208</v>
      </c>
      <c r="BS19" s="241">
        <f t="shared" si="35"/>
        <v>-58494.757703157622</v>
      </c>
      <c r="BT19" s="241">
        <f t="shared" si="36"/>
        <v>-2334.0542817831738</v>
      </c>
      <c r="BU19" s="241">
        <f t="shared" si="37"/>
        <v>-61696.768370941878</v>
      </c>
      <c r="BV19" s="241">
        <f t="shared" si="38"/>
        <v>-1241.8386081293938</v>
      </c>
      <c r="BW19" s="241">
        <f t="shared" si="39"/>
        <v>-1122.8386081293938</v>
      </c>
      <c r="BX19" s="241">
        <f t="shared" si="40"/>
        <v>-583.23647457254083</v>
      </c>
      <c r="BY19" s="241">
        <f t="shared" si="41"/>
        <v>-1241.8386081293938</v>
      </c>
      <c r="BZ19" s="241">
        <f t="shared" si="42"/>
        <v>-1241.8386081293938</v>
      </c>
      <c r="CA19" s="241">
        <f t="shared" si="43"/>
        <v>-47373.769014599056</v>
      </c>
      <c r="CB19" s="241">
        <f t="shared" si="44"/>
        <v>-1122.8386081293938</v>
      </c>
      <c r="CC19" s="241">
        <f t="shared" si="45"/>
        <v>-47465.769014599056</v>
      </c>
      <c r="CD19" s="241">
        <f t="shared" si="46"/>
        <v>-583.23647457254083</v>
      </c>
      <c r="CE19" s="241">
        <f t="shared" si="47"/>
        <v>-44171.7583468148</v>
      </c>
      <c r="CF19" s="241">
        <f t="shared" si="48"/>
        <v>-1241.8386081293938</v>
      </c>
      <c r="CG19" s="241">
        <f t="shared" si="49"/>
        <v>-47373.769014599056</v>
      </c>
      <c r="CH19" s="248"/>
      <c r="CI19" s="249">
        <f t="shared" ca="1" si="64"/>
        <v>51014</v>
      </c>
      <c r="CJ19" s="241">
        <f t="shared" si="50"/>
        <v>-2334.0542817831738</v>
      </c>
      <c r="CK19" s="138"/>
      <c r="CL19" s="241">
        <f t="shared" si="52"/>
        <v>-2334.0542817831738</v>
      </c>
      <c r="CM19" s="241">
        <f t="shared" si="53"/>
        <v>-2334.0542817831738</v>
      </c>
      <c r="CN19" s="241">
        <f t="shared" si="54"/>
        <v>-2334.0542817831738</v>
      </c>
      <c r="CO19" s="256"/>
      <c r="CP19" s="241"/>
      <c r="CQ19" s="241"/>
      <c r="CR19" s="241"/>
      <c r="CS19" s="256"/>
      <c r="CT19" s="241"/>
      <c r="CU19" s="241"/>
      <c r="CV19" s="241"/>
      <c r="CW19" s="256"/>
      <c r="CX19" s="241"/>
      <c r="CY19" s="241"/>
      <c r="CZ19" s="241"/>
      <c r="DA19" s="241">
        <f t="shared" si="55"/>
        <v>-1241.8386081293938</v>
      </c>
      <c r="DB19" s="256"/>
      <c r="DC19" s="241">
        <f t="shared" si="57"/>
        <v>-1241.8386081293938</v>
      </c>
      <c r="DD19" s="241">
        <f t="shared" si="58"/>
        <v>-1241.8386081293938</v>
      </c>
      <c r="DE19" s="241">
        <f t="shared" si="59"/>
        <v>-1241.8386081293938</v>
      </c>
      <c r="DF19" s="256"/>
      <c r="DG19" s="241"/>
      <c r="DH19" s="241"/>
      <c r="DI19" s="241"/>
      <c r="DJ19" s="256"/>
      <c r="DK19" s="241"/>
      <c r="DL19" s="241"/>
      <c r="DM19" s="241"/>
      <c r="DN19" s="256"/>
      <c r="DO19" s="241"/>
      <c r="DP19" s="241"/>
      <c r="DQ19" s="241"/>
      <c r="DR19" s="241"/>
      <c r="DS19" s="241">
        <f t="shared" si="3"/>
        <v>-1241.8386081293938</v>
      </c>
    </row>
    <row r="20" spans="1:123" ht="15.6">
      <c r="A20" s="243">
        <v>16</v>
      </c>
      <c r="B20" s="244">
        <f>B19*(1+'Immobilie als Kapitalanlage'!$D$47)</f>
        <v>291972.08258600091</v>
      </c>
      <c r="C20" s="241">
        <f>$C$4*(1+'Immobilie als Kapitalanlage'!$D$47)^A20</f>
        <v>0</v>
      </c>
      <c r="D20" s="244">
        <f t="shared" si="69"/>
        <v>291972.08258600091</v>
      </c>
      <c r="E20" s="138"/>
      <c r="F20" s="245">
        <f>MAX(-FV('Immobilie als Kapitalanlage'!$D$26/12,A20*12,(-I20/12),'Immobilie als Kapitalanlage'!$C$25,0),0)</f>
        <v>169044.73337385018</v>
      </c>
      <c r="G20" s="245">
        <f>IF(I20-H20&gt;G19,F19*'Immobilie als Kapitalanlage'!$D$26,I20-H20)</f>
        <v>6038.7610495388799</v>
      </c>
      <c r="H20" s="241">
        <f t="shared" si="4"/>
        <v>6411.2389504611201</v>
      </c>
      <c r="I20" s="241">
        <f>$F$4*('Immobilie als Kapitalanlage'!$D$26+'Immobilie als Kapitalanlage'!$D$36)</f>
        <v>12450</v>
      </c>
      <c r="J20" s="245">
        <f>MAX((-FV('Immobilie als Kapitalanlage'!$C$85/12,(A20-$A$14)*12,(-M20/12),$J$14,0)),0)</f>
        <v>176692.68195323832</v>
      </c>
      <c r="K20" s="241">
        <f t="shared" si="98"/>
        <v>7178.5084244051814</v>
      </c>
      <c r="L20" s="241">
        <f t="shared" si="99"/>
        <v>5082.8894420379656</v>
      </c>
      <c r="M20" s="241">
        <f>$J$14*('Immobilie als Kapitalanlage'!$C$85+'Immobilie als Kapitalanlage'!$C$86)</f>
        <v>12261.397866443147</v>
      </c>
      <c r="N20" s="245">
        <f>MAX((-FV('Immobilie als Kapitalanlage'!$C$88/12,(A20-$A$19)*12,(-Q20/12),$N$19,0)),0)</f>
        <v>170119.31102987763</v>
      </c>
      <c r="O20" s="245">
        <f t="shared" ref="O20:O54" si="115">Q20-P20</f>
        <v>5190.6970450250101</v>
      </c>
      <c r="P20" s="241">
        <f t="shared" ref="P20:P54" si="116">N19-N20</f>
        <v>5336.6612944336666</v>
      </c>
      <c r="Q20" s="241">
        <f>$N$19*('Immobilie als Kapitalanlage'!$C$88+'Immobilie als Kapitalanlage'!$C$89)</f>
        <v>10527.358339458677</v>
      </c>
      <c r="R20" s="250">
        <f t="shared" si="6"/>
        <v>-1960.6609952705915</v>
      </c>
      <c r="S20" s="250">
        <f>'Immobilie als Kapitalanlage'!$C$27*12*(1+'Immobilie als Kapitalanlage'!$D$44)^A19</f>
        <v>-329.4685692217468</v>
      </c>
      <c r="T20" s="250">
        <f>'Immobilie als Kapitalanlage'!$C$29*12*(1+'Immobilie als Kapitalanlage'!$D$44)^A19</f>
        <v>-1146.6798242521581</v>
      </c>
      <c r="U20" s="250">
        <f>'Immobilie als Kapitalanlage'!$C$30*12*(1+'Immobilie als Kapitalanlage'!$D$44)^A19</f>
        <v>-484.51260179668651</v>
      </c>
      <c r="V20" s="250">
        <f>'Immobilie als Kapitalanlage'!$C$28*12*(1+'Immobilie als Kapitalanlage'!$D$44)^A19</f>
        <v>-823.6714230543671</v>
      </c>
      <c r="W20" s="241">
        <f>$W$5*(1+'Immobilie als Kapitalanlage'!$D$43)^A19</f>
        <v>13727.857050906117</v>
      </c>
      <c r="X20" s="241">
        <f>$X$5*(1+'Immobilie als Kapitalanlage'!$D$43)^A19</f>
        <v>15649.757038032973</v>
      </c>
      <c r="Y20" s="241">
        <f>-'Immobilie als Kapitalanlage'!$C$25*'Immobilie als Kapitalanlage'!$D$99</f>
        <v>0</v>
      </c>
      <c r="Z20" s="241">
        <f t="shared" si="7"/>
        <v>0</v>
      </c>
      <c r="AA20" s="241">
        <f>FV((((1+'Immobilie als Kapitalanlage'!$D$80)^(1/12)-1)),A20*12,Y20/12,-'Immobilie als Kapitalanlage'!$G$95,)</f>
        <v>0</v>
      </c>
      <c r="AB20" s="241">
        <f>$AB$5*(1+'Immobilie als Kapitalanlage'!$D$51)^A19</f>
        <v>107669.46706593034</v>
      </c>
      <c r="AC20" s="241">
        <f>IF(AND(AB20&gt;Steuern!$D$6,AB20&lt;Steuern!$D$10),INT((Steuern!$H$8*(AB20-Steuern!$D$6)/10000+Steuern!$I$8)*(AB20-Steuern!$D$6)/10000),IF(AND(AB20&gt;Steuern!$F$8,AB20&lt;Steuern!$D$12),INT((Steuern!$H$10*(AB20-Steuern!$F$8)/10000+Steuern!$I$10)*(AB20-Steuern!$F$8)/10000+Steuern!$J$10),IF(AND(AB20&gt;Steuern!$F$10,AB20&lt;Steuern!$D$14),INT(AB20*Steuern!$H$12-Steuern!$I$12),IF(AB20&gt;Steuern!$F$12,INT(AB20*Steuern!$H$14-Steuern!$I$14),0))))</f>
        <v>35248</v>
      </c>
      <c r="AD20" s="241">
        <f>IF(AND(AB20/2&gt;Steuern!$D$6,AB20/2&lt;Steuern!$D$10),INT((Steuern!$H$8*(AB20/2-Steuern!$D$8)/10000+Steuern!$I$8)*(AB20/2-Steuern!$D$6)/10000),IF(AND(AB20/2&gt;Steuern!$F$8,AB20/2&lt;Steuern!$D$12),INT((Steuern!$H$10*(AB20/2-Steuern!$F$8)/10000+Steuern!$I$10)*(AB20/2-Steuern!$F$8)/10000+Steuern!$J$10),IF(AND(AB20/2&gt;Steuern!$F$10,AB20/2&lt;Steuern!$D$14),INT(AB20/2*Steuern!$H$12-Steuern!$I$12),IF(AB20/2&gt;Steuern!$F$12,INT(AB20/2*Steuern!$H$14-Steuern!$I$14),0))))*2</f>
        <v>25584</v>
      </c>
      <c r="AE20" s="241">
        <f t="shared" si="8"/>
        <v>5728.4350060966462</v>
      </c>
      <c r="AF20" s="241">
        <f t="shared" si="9"/>
        <v>4588.6876312303448</v>
      </c>
      <c r="AG20" s="241">
        <f t="shared" si="10"/>
        <v>6576.4990106105161</v>
      </c>
      <c r="AH20" s="241">
        <f t="shared" si="11"/>
        <v>7650.3349932235014</v>
      </c>
      <c r="AI20" s="241">
        <f t="shared" si="12"/>
        <v>6510.5876183572</v>
      </c>
      <c r="AJ20" s="241">
        <f t="shared" si="13"/>
        <v>8498.3989977373712</v>
      </c>
      <c r="AK20" s="248"/>
      <c r="AL20" s="241">
        <f>('Immobilie als Kapitalanlage'!$C$16+'Immobilie als Kapitalanlage'!$C$20+'Immobilie als Kapitalanlage'!$C$15)*(1-'Immobilie als Kapitalanlage'!$D$53)</f>
        <v>190858.5</v>
      </c>
      <c r="AM20" s="241">
        <f>AL20*'Immobilie als Kapitalanlage'!$D$52</f>
        <v>3817.17</v>
      </c>
      <c r="AN20" s="241">
        <f t="shared" si="14"/>
        <v>109580.73207202698</v>
      </c>
      <c r="AO20" s="241">
        <f>IF(AND(AN20&gt;Steuern!$D$6,AN20&lt;Steuern!$D$10),INT((#REF!*(AN20-Steuern!$D$8)/10000+Steuern!$I$8)*(AN20-Steuern!$D$6)/10000),IF(AND(AN20&gt;Steuern!$F$8,AN20&lt;Steuern!$D$12),INT((Steuern!$H$10*(AN20-Steuern!$F$8)/10000+Steuern!$I$10)*(AN20-Steuern!$F$8)/10000+Steuern!$J$10),IF(AND(AN20&gt;Steuern!$F$10,AN20&lt;Steuern!$D$14),INT(AN20*Steuern!$H$12-Steuern!$I$12),IF(AN20&gt;Steuern!$F$12,INT(AN20*Steuern!$H$14-Steuern!$I$14),0))))</f>
        <v>36050</v>
      </c>
      <c r="AP20" s="241">
        <f>IF(AND(AN20/2&gt;Steuern!$D$6,AN20/2&lt;Steuern!$D$10),INT((Steuern!$H$8*(AN20/2-Steuern!$D$8)/10000+Steuern!$I$8)*(AN20/2-Steuern!$D$6)/10000),IF(AND(AN20/2&gt;Steuern!$F$8,AN20/2&lt;Steuern!$D$12),INT((Steuern!$H$10*(AN20/2-Steuern!$F$8)/10000+Steuern!$I$10)*(AN20/2-Steuern!$F$8)/10000+Steuern!$J$10),IF(AND(AN20/2&gt;Steuern!$F$10,AN20/2&lt;Steuern!$D$14),INT(AN20/2*Steuern!$H$12-Steuern!$I$12),IF(AN20/2&gt;Steuern!$F$12,INT(AN20/2*Steuern!$H$14-Steuern!$I$14),0))))*2</f>
        <v>26324</v>
      </c>
      <c r="AQ20" s="241">
        <f t="shared" si="15"/>
        <v>108440.98469716069</v>
      </c>
      <c r="AR20" s="241">
        <f>IF(AND(AQ20&gt;Steuern!$D$6,AQ20&lt;Steuern!$D$10),INT((Steuern!$H$8*(AQ20-Steuern!$D$6)/10000+Steuern!$I$8)*(AQ20-Steuern!$D$6)/10000),IF(AND(AQ20&gt;Steuern!$F$8,AQ20&lt;Steuern!$D$12),INT((Steuern!$H$10*(AQ20-Steuern!$F$8)/10000+Steuern!$I$10)*(AQ20-Steuern!$F$8)/10000+Steuern!$J$10),IF(AND(AQ20&gt;Steuern!$F$10,AQ20&lt;Steuern!$D$14),INT(AQ20*Steuern!$H$12-Steuern!$I$12),IF(AQ20&gt;Steuern!$F$12,INT(AQ20*Steuern!$H$14-Steuern!$I$14),0))))</f>
        <v>35572</v>
      </c>
      <c r="AS20" s="241">
        <f t="shared" si="16"/>
        <v>110428.79607654085</v>
      </c>
      <c r="AT20" s="241">
        <f>IF(AND(AS20&gt;Steuern!$D$6,AS20&lt;Steuern!$D$10),INT((Steuern!$H$8*(AS20-Steuern!$D$6)/10000+Steuern!$I$8)*(AS20-Steuern!$D$6)/10000),IF(AND(AS20&gt;Steuern!$F$8,AS20&lt;Steuern!$D$12),INT((Steuern!$H$10*(AS20-Steuern!$F$8)/10000+Steuern!$I$10)*(AS20-Steuern!$F$8)/10000+Steuern!$J$10),IF(AND(AS20&gt;Steuern!$F$10,AS20&lt;Steuern!$D$14),INT(AS20*Steuern!$H$12-Steuern!$I$12),IF(AS20&gt;Steuern!$F$12,INT(AS20*Steuern!$H$14-Steuern!$I$14),0))))</f>
        <v>36407</v>
      </c>
      <c r="AU20" s="241">
        <f t="shared" si="17"/>
        <v>111502.63205915384</v>
      </c>
      <c r="AV20" s="241">
        <f>IF(AND(AU20&gt;Steuern!$D$6,AU20&lt;Steuern!$D$10),INT((Steuern!$H$8*(AU20-Steuern!$D$6)/10000+Steuern!$I$8)*(AU20-Steuern!$D$6)/10000),IF(AND(AU20&gt;Steuern!$F$8,AU20&lt;Steuern!$D$12),INT((Steuern!$H$10*(AU20-Steuern!$F$8)/10000+Steuern!$I$10)*(AU20-Steuern!$F$8)/10000+Steuern!$J$10),IF(AND(AU20&gt;Steuern!$F$10,AU20&lt;Steuern!$D$14),INT(AU20*Steuern!$H$12-Steuern!$I$12),IF(AU20&gt;Steuern!$F$12,INT(AU20*Steuern!$H$14-Steuern!$I$14),0))))</f>
        <v>36858</v>
      </c>
      <c r="AW20" s="241">
        <f>IF(AND(AU20/2&gt;Steuern!$D$6,AU20/2&lt;Steuern!$D$10),INT((Steuern!$H$8*(AU20/2-Steuern!$D$8)/10000+Steuern!$I$8)*(AU20/2-Steuern!$D$6)/10000),IF(AND(AU20/2&gt;Steuern!$F$8,AU20/2&lt;Steuern!$D$12),INT((Steuern!$H$10*(AU20/2-Steuern!$F$8)/10000+Steuern!$I$10)*(AU20/2-Steuern!$F$8)/10000+Steuern!$J$10),IF(AND(AU20/2&gt;Steuern!$F$10,AU20/2&lt;Steuern!$D$14),INT(AU20/2*Steuern!$H$12-Steuern!$I$12),IF(AU20/2&gt;Steuern!$F$12,INT(AU20/2*Steuern!$H$14-Steuern!$I$14),0))))*2</f>
        <v>27076</v>
      </c>
      <c r="AX20" s="241">
        <f t="shared" si="18"/>
        <v>110362.88468428754</v>
      </c>
      <c r="AY20" s="241">
        <f>IF(AND(AX20&gt;Steuern!$D$6,AX20&lt;Steuern!$D$10),INT((#REF!*(AX20-Steuern!$D$8)/10000+Steuern!$I$8)*(AX20-Steuern!$D$6)/10000),IF(AND(AX20&gt;Steuern!$F$8,AX20&lt;Steuern!$D$12),INT((Steuern!$H$10*(AX20-Steuern!$F$8)/10000+Steuern!$I$10)*(AX20-Steuern!$F$8)/10000+Steuern!$J$10),IF(AND(AX20&gt;Steuern!$F$10,AX20&lt;Steuern!$D$14),INT(AX20*Steuern!$H$12-Steuern!$I$12),IF(AX20&gt;Steuern!$F$12,INT(AX20*Steuern!$H$14-Steuern!$I$14),0))))</f>
        <v>36379</v>
      </c>
      <c r="AZ20" s="241">
        <f t="shared" si="19"/>
        <v>112350.69606366771</v>
      </c>
      <c r="BA20" s="241">
        <f>IF(AND(AZ20&gt;Steuern!$D$6,AZ20&lt;Steuern!$D$10),INT((#REF!*(AZ20-Steuern!$D$8)/10000+Steuern!$I$8)*(AZ20-Steuern!$D$6)/10000),IF(AND(AZ20&gt;Steuern!$F$8,AZ20&lt;Steuern!$D$12),INT((Steuern!$H$10*(AZ20-Steuern!$F$8)/10000+Steuern!$I$10)*(AZ20-Steuern!$F$8)/10000+Steuern!$J$10),IF(AND(AZ20&gt;Steuern!$F$10,AZ20&lt;Steuern!$D$14),INT(AZ20*Steuern!$H$12-Steuern!$I$12),IF(AZ20&gt;Steuern!$F$12,INT(AZ20*Steuern!$H$14-Steuern!$I$14),0))))</f>
        <v>37214</v>
      </c>
      <c r="BB20" s="241">
        <f t="shared" ref="BB20:BC20" si="117">AC20-AO20</f>
        <v>-802</v>
      </c>
      <c r="BC20" s="241">
        <f t="shared" si="117"/>
        <v>-740</v>
      </c>
      <c r="BD20" s="241">
        <f t="shared" si="21"/>
        <v>-324</v>
      </c>
      <c r="BE20" s="241">
        <f t="shared" si="22"/>
        <v>-1159</v>
      </c>
      <c r="BF20" s="241">
        <f t="shared" ref="BF20:BG20" si="118">AC20-AV20</f>
        <v>-1610</v>
      </c>
      <c r="BG20" s="241">
        <f t="shared" si="118"/>
        <v>-1492</v>
      </c>
      <c r="BH20" s="241">
        <f t="shared" si="24"/>
        <v>-1131</v>
      </c>
      <c r="BI20" s="241">
        <f t="shared" si="25"/>
        <v>-1966</v>
      </c>
      <c r="BJ20" s="241">
        <f t="shared" si="26"/>
        <v>-2308.4753674188414</v>
      </c>
      <c r="BK20" s="241">
        <f t="shared" si="27"/>
        <v>-2246.4753674188414</v>
      </c>
      <c r="BL20" s="241">
        <f t="shared" si="28"/>
        <v>-1641.8732338619884</v>
      </c>
      <c r="BM20" s="241">
        <f t="shared" si="29"/>
        <v>-742.83370687751813</v>
      </c>
      <c r="BN20" s="241">
        <f t="shared" si="30"/>
        <v>-2308.4753674188414</v>
      </c>
      <c r="BO20" s="241">
        <f t="shared" si="31"/>
        <v>-64005.243738360718</v>
      </c>
      <c r="BP20" s="241">
        <f t="shared" si="32"/>
        <v>-2246.4753674188414</v>
      </c>
      <c r="BQ20" s="241">
        <f t="shared" si="33"/>
        <v>-65605.243738360718</v>
      </c>
      <c r="BR20" s="241">
        <f t="shared" si="34"/>
        <v>-1641.8732338619884</v>
      </c>
      <c r="BS20" s="241">
        <f t="shared" si="35"/>
        <v>-60136.63093701961</v>
      </c>
      <c r="BT20" s="241">
        <f t="shared" si="36"/>
        <v>-742.83370687751813</v>
      </c>
      <c r="BU20" s="241">
        <f t="shared" si="37"/>
        <v>-62439.602077819392</v>
      </c>
      <c r="BV20" s="241">
        <f t="shared" si="38"/>
        <v>-1194.5753802919862</v>
      </c>
      <c r="BW20" s="241">
        <f t="shared" si="39"/>
        <v>-1076.5753802919862</v>
      </c>
      <c r="BX20" s="241">
        <f t="shared" si="40"/>
        <v>-526.97324673513322</v>
      </c>
      <c r="BY20" s="241">
        <f t="shared" si="41"/>
        <v>372.06628024933707</v>
      </c>
      <c r="BZ20" s="241">
        <f t="shared" si="42"/>
        <v>-1194.5753802919862</v>
      </c>
      <c r="CA20" s="241">
        <f t="shared" si="43"/>
        <v>-48568.344394891043</v>
      </c>
      <c r="CB20" s="241">
        <f t="shared" si="44"/>
        <v>-1076.5753802919862</v>
      </c>
      <c r="CC20" s="241">
        <f t="shared" si="45"/>
        <v>-48542.344394891043</v>
      </c>
      <c r="CD20" s="241">
        <f t="shared" si="46"/>
        <v>-526.97324673513322</v>
      </c>
      <c r="CE20" s="241">
        <f t="shared" si="47"/>
        <v>-44698.731593549935</v>
      </c>
      <c r="CF20" s="241">
        <f t="shared" si="48"/>
        <v>372.06628024933707</v>
      </c>
      <c r="CG20" s="241">
        <f t="shared" si="49"/>
        <v>-47001.702734349718</v>
      </c>
      <c r="CH20" s="248"/>
      <c r="CI20" s="249">
        <f t="shared" ca="1" si="64"/>
        <v>51380</v>
      </c>
      <c r="CJ20" s="241">
        <f t="shared" si="50"/>
        <v>-2308.4753674188414</v>
      </c>
      <c r="CK20" s="138"/>
      <c r="CL20" s="241">
        <f t="shared" si="52"/>
        <v>-2308.4753674188414</v>
      </c>
      <c r="CM20" s="241">
        <f t="shared" si="53"/>
        <v>-2308.4753674188414</v>
      </c>
      <c r="CN20" s="241">
        <f t="shared" si="54"/>
        <v>-2308.4753674188414</v>
      </c>
      <c r="CO20" s="248"/>
      <c r="CP20" s="241"/>
      <c r="CQ20" s="241"/>
      <c r="CR20" s="241"/>
      <c r="CS20" s="248"/>
      <c r="CT20" s="241"/>
      <c r="CU20" s="241"/>
      <c r="CV20" s="241"/>
      <c r="CW20" s="248"/>
      <c r="CX20" s="241"/>
      <c r="CY20" s="241"/>
      <c r="CZ20" s="241"/>
      <c r="DA20" s="241">
        <f t="shared" si="55"/>
        <v>-1194.5753802919862</v>
      </c>
      <c r="DB20" s="248"/>
      <c r="DC20" s="241">
        <f t="shared" si="57"/>
        <v>-1194.5753802919862</v>
      </c>
      <c r="DD20" s="241">
        <f t="shared" si="58"/>
        <v>-1194.5753802919862</v>
      </c>
      <c r="DE20" s="241">
        <f t="shared" si="59"/>
        <v>-1194.5753802919862</v>
      </c>
      <c r="DF20" s="248"/>
      <c r="DG20" s="241"/>
      <c r="DH20" s="241"/>
      <c r="DI20" s="241"/>
      <c r="DJ20" s="248"/>
      <c r="DK20" s="241"/>
      <c r="DL20" s="241"/>
      <c r="DM20" s="241"/>
      <c r="DN20" s="248"/>
      <c r="DO20" s="241"/>
      <c r="DP20" s="241"/>
      <c r="DQ20" s="241"/>
      <c r="DR20" s="241"/>
      <c r="DS20" s="241">
        <f t="shared" si="3"/>
        <v>-1194.5753802919862</v>
      </c>
    </row>
    <row r="21" spans="1:123" ht="15.75" customHeight="1">
      <c r="A21" s="243">
        <v>17</v>
      </c>
      <c r="B21" s="244">
        <f>B20*(1+'Immobilie als Kapitalanlage'!$D$47)</f>
        <v>294891.80341186089</v>
      </c>
      <c r="C21" s="241">
        <f>$C$4*(1+'Immobilie als Kapitalanlage'!$D$47)^A21</f>
        <v>0</v>
      </c>
      <c r="D21" s="244">
        <f t="shared" si="69"/>
        <v>294891.80341186089</v>
      </c>
      <c r="E21" s="138"/>
      <c r="F21" s="245">
        <f>MAX(-FV('Immobilie als Kapitalanlage'!$D$26/12,A21*12,(-I21/12),'Immobilie als Kapitalanlage'!$C$25,0),0)</f>
        <v>162405.46618931252</v>
      </c>
      <c r="G21" s="245">
        <f>IF(I21-H21&gt;G20,F20*'Immobilie als Kapitalanlage'!$D$26,I21-H21)</f>
        <v>5810.7328154623392</v>
      </c>
      <c r="H21" s="241">
        <f t="shared" si="4"/>
        <v>6639.2671845376608</v>
      </c>
      <c r="I21" s="241">
        <f>$F$4*('Immobilie als Kapitalanlage'!$D$26+'Immobilie als Kapitalanlage'!$D$36)</f>
        <v>12450</v>
      </c>
      <c r="J21" s="245">
        <f>MAX((-FV('Immobilie als Kapitalanlage'!$C$85/12,(A21-$A$14)*12,(-M21/12),$J$14,0)),0)</f>
        <v>171402.707752841</v>
      </c>
      <c r="K21" s="241">
        <f t="shared" si="98"/>
        <v>6971.4236660458246</v>
      </c>
      <c r="L21" s="241">
        <f t="shared" si="99"/>
        <v>5289.9742003973224</v>
      </c>
      <c r="M21" s="241">
        <f>$J$14*('Immobilie als Kapitalanlage'!$C$85+'Immobilie als Kapitalanlage'!$C$86)</f>
        <v>12261.397866443147</v>
      </c>
      <c r="N21" s="245">
        <f>MAX((-FV('Immobilie als Kapitalanlage'!$C$88/12,(A21-$A$19)*12,(-Q21/12),$N$19,0)),0)</f>
        <v>164620.33007545047</v>
      </c>
      <c r="O21" s="245">
        <f t="shared" si="115"/>
        <v>5028.377385031521</v>
      </c>
      <c r="P21" s="241">
        <f t="shared" si="116"/>
        <v>5498.9809544271557</v>
      </c>
      <c r="Q21" s="241">
        <f>$N$19*('Immobilie als Kapitalanlage'!$C$88+'Immobilie als Kapitalanlage'!$C$89)</f>
        <v>10527.358339458677</v>
      </c>
      <c r="R21" s="250">
        <f t="shared" si="6"/>
        <v>-1999.8742151760036</v>
      </c>
      <c r="S21" s="250">
        <f>'Immobilie als Kapitalanlage'!$C$27*12*(1+'Immobilie als Kapitalanlage'!$D$44)^A20</f>
        <v>-336.05794060618183</v>
      </c>
      <c r="T21" s="250">
        <f>'Immobilie als Kapitalanlage'!$C$29*12*(1+'Immobilie als Kapitalanlage'!$D$44)^A20</f>
        <v>-1169.6134207372015</v>
      </c>
      <c r="U21" s="250">
        <f>'Immobilie als Kapitalanlage'!$C$30*12*(1+'Immobilie als Kapitalanlage'!$D$44)^A20</f>
        <v>-494.20285383262035</v>
      </c>
      <c r="V21" s="250">
        <f>'Immobilie als Kapitalanlage'!$C$28*12*(1+'Immobilie als Kapitalanlage'!$D$44)^A20</f>
        <v>-840.14485151545455</v>
      </c>
      <c r="W21" s="241">
        <f>$W$5*(1+'Immobilie als Kapitalanlage'!$D$43)^A20</f>
        <v>14002.414191924243</v>
      </c>
      <c r="X21" s="241">
        <f>$X$5*(1+'Immobilie als Kapitalanlage'!$D$43)^A20</f>
        <v>15962.752178793635</v>
      </c>
      <c r="Y21" s="241">
        <f>-'Immobilie als Kapitalanlage'!$C$25*'Immobilie als Kapitalanlage'!$D$99</f>
        <v>0</v>
      </c>
      <c r="Z21" s="241">
        <f t="shared" si="7"/>
        <v>0</v>
      </c>
      <c r="AA21" s="241">
        <f>FV((((1+'Immobilie als Kapitalanlage'!$D$80)^(1/12)-1)),A21*12,Y21/12,-'Immobilie als Kapitalanlage'!$G$95,)</f>
        <v>0</v>
      </c>
      <c r="AB21" s="241">
        <f>$AB$5*(1+'Immobilie als Kapitalanlage'!$D$51)^A20</f>
        <v>109822.85640724897</v>
      </c>
      <c r="AC21" s="241">
        <f>IF(AND(AB21&gt;Steuern!$D$6,AB21&lt;Steuern!$D$10),INT((Steuern!$H$8*(AB21-Steuern!$D$6)/10000+Steuern!$I$8)*(AB21-Steuern!$D$6)/10000),IF(AND(AB21&gt;Steuern!$F$8,AB21&lt;Steuern!$D$12),INT((Steuern!$H$10*(AB21-Steuern!$F$8)/10000+Steuern!$I$10)*(AB21-Steuern!$F$8)/10000+Steuern!$J$10),IF(AND(AB21&gt;Steuern!$F$10,AB21&lt;Steuern!$D$14),INT(AB21*Steuern!$H$12-Steuern!$I$12),IF(AB21&gt;Steuern!$F$12,INT(AB21*Steuern!$H$14-Steuern!$I$14),0))))</f>
        <v>36152</v>
      </c>
      <c r="AD21" s="241">
        <f>IF(AND(AB21/2&gt;Steuern!$D$6,AB21/2&lt;Steuern!$D$10),INT((Steuern!$H$8*(AB21/2-Steuern!$D$8)/10000+Steuern!$I$8)*(AB21/2-Steuern!$D$6)/10000),IF(AND(AB21/2&gt;Steuern!$F$8,AB21/2&lt;Steuern!$D$12),INT((Steuern!$H$10*(AB21/2-Steuern!$F$8)/10000+Steuern!$I$10)*(AB21/2-Steuern!$F$8)/10000+Steuern!$J$10),IF(AND(AB21/2&gt;Steuern!$F$10,AB21/2&lt;Steuern!$D$14),INT(AB21/2*Steuern!$H$12-Steuern!$I$12),IF(AB21/2&gt;Steuern!$F$12,INT(AB21/2*Steuern!$H$14-Steuern!$I$14),0))))*2</f>
        <v>26418</v>
      </c>
      <c r="AE21" s="241">
        <f t="shared" si="8"/>
        <v>6191.8071612859003</v>
      </c>
      <c r="AF21" s="241">
        <f t="shared" si="9"/>
        <v>5031.1163107024149</v>
      </c>
      <c r="AG21" s="241">
        <f t="shared" si="10"/>
        <v>6974.1625917167185</v>
      </c>
      <c r="AH21" s="241">
        <f t="shared" si="11"/>
        <v>8152.1451481552922</v>
      </c>
      <c r="AI21" s="241">
        <f t="shared" si="12"/>
        <v>6991.4542975718068</v>
      </c>
      <c r="AJ21" s="241">
        <f t="shared" si="13"/>
        <v>8934.5005785861104</v>
      </c>
      <c r="AK21" s="248"/>
      <c r="AL21" s="241">
        <f>('Immobilie als Kapitalanlage'!$C$16+'Immobilie als Kapitalanlage'!$C$20+'Immobilie als Kapitalanlage'!$C$15)*(1-'Immobilie als Kapitalanlage'!$D$53)</f>
        <v>190858.5</v>
      </c>
      <c r="AM21" s="241">
        <f>AL21*'Immobilie als Kapitalanlage'!$D$52</f>
        <v>3817.17</v>
      </c>
      <c r="AN21" s="241">
        <f t="shared" si="14"/>
        <v>112197.49356853488</v>
      </c>
      <c r="AO21" s="241">
        <f>IF(AND(AN21&gt;Steuern!$D$6,AN21&lt;Steuern!$D$10),INT((#REF!*(AN21-Steuern!$D$8)/10000+Steuern!$I$8)*(AN21-Steuern!$D$6)/10000),IF(AND(AN21&gt;Steuern!$F$8,AN21&lt;Steuern!$D$12),INT((Steuern!$H$10*(AN21-Steuern!$F$8)/10000+Steuern!$I$10)*(AN21-Steuern!$F$8)/10000+Steuern!$J$10),IF(AND(AN21&gt;Steuern!$F$10,AN21&lt;Steuern!$D$14),INT(AN21*Steuern!$H$12-Steuern!$I$12),IF(AN21&gt;Steuern!$F$12,INT(AN21*Steuern!$H$14-Steuern!$I$14),0))))</f>
        <v>37149</v>
      </c>
      <c r="AP21" s="241">
        <f>IF(AND(AN21/2&gt;Steuern!$D$6,AN21/2&lt;Steuern!$D$10),INT((Steuern!$H$8*(AN21/2-Steuern!$D$8)/10000+Steuern!$I$8)*(AN21/2-Steuern!$D$6)/10000),IF(AND(AN21/2&gt;Steuern!$F$8,AN21/2&lt;Steuern!$D$12),INT((Steuern!$H$10*(AN21/2-Steuern!$F$8)/10000+Steuern!$I$10)*(AN21/2-Steuern!$F$8)/10000+Steuern!$J$10),IF(AND(AN21/2&gt;Steuern!$F$10,AN21/2&lt;Steuern!$D$14),INT(AN21/2*Steuern!$H$12-Steuern!$I$12),IF(AN21/2&gt;Steuern!$F$12,INT(AN21/2*Steuern!$H$14-Steuern!$I$14),0))))*2</f>
        <v>27350</v>
      </c>
      <c r="AQ21" s="241">
        <f t="shared" si="15"/>
        <v>111036.80271795139</v>
      </c>
      <c r="AR21" s="241">
        <f>IF(AND(AQ21&gt;Steuern!$D$6,AQ21&lt;Steuern!$D$10),INT((Steuern!$H$8*(AQ21-Steuern!$D$6)/10000+Steuern!$I$8)*(AQ21-Steuern!$D$6)/10000),IF(AND(AQ21&gt;Steuern!$F$8,AQ21&lt;Steuern!$D$12),INT((Steuern!$H$10*(AQ21-Steuern!$F$8)/10000+Steuern!$I$10)*(AQ21-Steuern!$F$8)/10000+Steuern!$J$10),IF(AND(AQ21&gt;Steuern!$F$10,AQ21&lt;Steuern!$D$14),INT(AQ21*Steuern!$H$12-Steuern!$I$12),IF(AQ21&gt;Steuern!$F$12,INT(AQ21*Steuern!$H$14-Steuern!$I$14),0))))</f>
        <v>36662</v>
      </c>
      <c r="AS21" s="241">
        <f t="shared" si="16"/>
        <v>112979.84899896568</v>
      </c>
      <c r="AT21" s="241">
        <f>IF(AND(AS21&gt;Steuern!$D$6,AS21&lt;Steuern!$D$10),INT((Steuern!$H$8*(AS21-Steuern!$D$6)/10000+Steuern!$I$8)*(AS21-Steuern!$D$6)/10000),IF(AND(AS21&gt;Steuern!$F$8,AS21&lt;Steuern!$D$12),INT((Steuern!$H$10*(AS21-Steuern!$F$8)/10000+Steuern!$I$10)*(AS21-Steuern!$F$8)/10000+Steuern!$J$10),IF(AND(AS21&gt;Steuern!$F$10,AS21&lt;Steuern!$D$14),INT(AS21*Steuern!$H$12-Steuern!$I$12),IF(AS21&gt;Steuern!$F$12,INT(AS21*Steuern!$H$14-Steuern!$I$14),0))))</f>
        <v>37478</v>
      </c>
      <c r="AU21" s="241">
        <f t="shared" si="17"/>
        <v>114157.83155540426</v>
      </c>
      <c r="AV21" s="241">
        <f>IF(AND(AU21&gt;Steuern!$D$6,AU21&lt;Steuern!$D$10),INT((Steuern!$H$8*(AU21-Steuern!$D$6)/10000+Steuern!$I$8)*(AU21-Steuern!$D$6)/10000),IF(AND(AU21&gt;Steuern!$F$8,AU21&lt;Steuern!$D$12),INT((Steuern!$H$10*(AU21-Steuern!$F$8)/10000+Steuern!$I$10)*(AU21-Steuern!$F$8)/10000+Steuern!$J$10),IF(AND(AU21&gt;Steuern!$F$10,AU21&lt;Steuern!$D$14),INT(AU21*Steuern!$H$12-Steuern!$I$12),IF(AU21&gt;Steuern!$F$12,INT(AU21*Steuern!$H$14-Steuern!$I$14),0))))</f>
        <v>37973</v>
      </c>
      <c r="AW21" s="241">
        <f>IF(AND(AU21/2&gt;Steuern!$D$6,AU21/2&lt;Steuern!$D$10),INT((Steuern!$H$8*(AU21/2-Steuern!$D$8)/10000+Steuern!$I$8)*(AU21/2-Steuern!$D$6)/10000),IF(AND(AU21/2&gt;Steuern!$F$8,AU21/2&lt;Steuern!$D$12),INT((Steuern!$H$10*(AU21/2-Steuern!$F$8)/10000+Steuern!$I$10)*(AU21/2-Steuern!$F$8)/10000+Steuern!$J$10),IF(AND(AU21/2&gt;Steuern!$F$10,AU21/2&lt;Steuern!$D$14),INT(AU21/2*Steuern!$H$12-Steuern!$I$12),IF(AU21/2&gt;Steuern!$F$12,INT(AU21/2*Steuern!$H$14-Steuern!$I$14),0))))*2</f>
        <v>28126</v>
      </c>
      <c r="AX21" s="241">
        <f t="shared" si="18"/>
        <v>112997.14070482078</v>
      </c>
      <c r="AY21" s="241">
        <f>IF(AND(AX21&gt;Steuern!$D$6,AX21&lt;Steuern!$D$10),INT((#REF!*(AX21-Steuern!$D$8)/10000+Steuern!$I$8)*(AX21-Steuern!$D$6)/10000),IF(AND(AX21&gt;Steuern!$F$8,AX21&lt;Steuern!$D$12),INT((Steuern!$H$10*(AX21-Steuern!$F$8)/10000+Steuern!$I$10)*(AX21-Steuern!$F$8)/10000+Steuern!$J$10),IF(AND(AX21&gt;Steuern!$F$10,AX21&lt;Steuern!$D$14),INT(AX21*Steuern!$H$12-Steuern!$I$12),IF(AX21&gt;Steuern!$F$12,INT(AX21*Steuern!$H$14-Steuern!$I$14),0))))</f>
        <v>37485</v>
      </c>
      <c r="AZ21" s="241">
        <f t="shared" si="19"/>
        <v>114940.18698583508</v>
      </c>
      <c r="BA21" s="241">
        <f>IF(AND(AZ21&gt;Steuern!$D$6,AZ21&lt;Steuern!$D$10),INT((#REF!*(AZ21-Steuern!$D$8)/10000+Steuern!$I$8)*(AZ21-Steuern!$D$6)/10000),IF(AND(AZ21&gt;Steuern!$F$8,AZ21&lt;Steuern!$D$12),INT((Steuern!$H$10*(AZ21-Steuern!$F$8)/10000+Steuern!$I$10)*(AZ21-Steuern!$F$8)/10000+Steuern!$J$10),IF(AND(AZ21&gt;Steuern!$F$10,AZ21&lt;Steuern!$D$14),INT(AZ21*Steuern!$H$12-Steuern!$I$12),IF(AZ21&gt;Steuern!$F$12,INT(AZ21*Steuern!$H$14-Steuern!$I$14),0))))</f>
        <v>38301</v>
      </c>
      <c r="BB21" s="241">
        <f t="shared" ref="BB21:BC21" si="119">AC21-AO21</f>
        <v>-997</v>
      </c>
      <c r="BC21" s="241">
        <f t="shared" si="119"/>
        <v>-932</v>
      </c>
      <c r="BD21" s="241">
        <f t="shared" si="21"/>
        <v>-510</v>
      </c>
      <c r="BE21" s="241">
        <f t="shared" si="22"/>
        <v>-1326</v>
      </c>
      <c r="BF21" s="241">
        <f t="shared" ref="BF21:BG21" si="120">AC21-AV21</f>
        <v>-1821</v>
      </c>
      <c r="BG21" s="241">
        <f t="shared" si="120"/>
        <v>-1708</v>
      </c>
      <c r="BH21" s="241">
        <f t="shared" si="24"/>
        <v>-1333</v>
      </c>
      <c r="BI21" s="241">
        <f t="shared" si="25"/>
        <v>-2149</v>
      </c>
      <c r="BJ21" s="241">
        <f t="shared" si="26"/>
        <v>-2284.6048747672157</v>
      </c>
      <c r="BK21" s="241">
        <f t="shared" si="27"/>
        <v>-2219.6048747672157</v>
      </c>
      <c r="BL21" s="241">
        <f t="shared" si="28"/>
        <v>-1609.0027412103627</v>
      </c>
      <c r="BM21" s="241">
        <f t="shared" si="29"/>
        <v>-690.96321422589244</v>
      </c>
      <c r="BN21" s="241">
        <f t="shared" si="30"/>
        <v>-2284.6048747672157</v>
      </c>
      <c r="BO21" s="241">
        <f t="shared" si="31"/>
        <v>-66289.848613127935</v>
      </c>
      <c r="BP21" s="241">
        <f t="shared" si="32"/>
        <v>-2219.6048747672157</v>
      </c>
      <c r="BQ21" s="241">
        <f t="shared" si="33"/>
        <v>-67824.848613127935</v>
      </c>
      <c r="BR21" s="241">
        <f t="shared" si="34"/>
        <v>-1609.0027412103627</v>
      </c>
      <c r="BS21" s="241">
        <f t="shared" si="35"/>
        <v>-61745.633678229977</v>
      </c>
      <c r="BT21" s="241">
        <f t="shared" si="36"/>
        <v>-690.96321422589244</v>
      </c>
      <c r="BU21" s="241">
        <f t="shared" si="37"/>
        <v>-63130.565292045285</v>
      </c>
      <c r="BV21" s="241">
        <f t="shared" si="38"/>
        <v>-1148.2668878978238</v>
      </c>
      <c r="BW21" s="241">
        <f t="shared" si="39"/>
        <v>-1035.2668878978238</v>
      </c>
      <c r="BX21" s="241">
        <f t="shared" si="40"/>
        <v>-471.66475434097083</v>
      </c>
      <c r="BY21" s="241">
        <f t="shared" si="41"/>
        <v>446.37477264349945</v>
      </c>
      <c r="BZ21" s="241">
        <f t="shared" si="42"/>
        <v>-1148.2668878978238</v>
      </c>
      <c r="CA21" s="241">
        <f t="shared" si="43"/>
        <v>-49716.611282788865</v>
      </c>
      <c r="CB21" s="241">
        <f t="shared" si="44"/>
        <v>-1035.2668878978238</v>
      </c>
      <c r="CC21" s="241">
        <f t="shared" si="45"/>
        <v>-49577.611282788865</v>
      </c>
      <c r="CD21" s="241">
        <f t="shared" si="46"/>
        <v>-471.66475434097083</v>
      </c>
      <c r="CE21" s="241">
        <f t="shared" si="47"/>
        <v>-45170.396347890906</v>
      </c>
      <c r="CF21" s="241">
        <f t="shared" si="48"/>
        <v>446.37477264349945</v>
      </c>
      <c r="CG21" s="241">
        <f t="shared" si="49"/>
        <v>-46555.327961706222</v>
      </c>
      <c r="CH21" s="248"/>
      <c r="CI21" s="249">
        <f t="shared" ca="1" si="64"/>
        <v>51745</v>
      </c>
      <c r="CJ21" s="241">
        <f t="shared" si="50"/>
        <v>-2284.6048747672157</v>
      </c>
      <c r="CK21" s="138"/>
      <c r="CL21" s="241">
        <f t="shared" si="52"/>
        <v>-2284.6048747672157</v>
      </c>
      <c r="CM21" s="241">
        <f t="shared" si="53"/>
        <v>-2284.6048747672157</v>
      </c>
      <c r="CN21" s="241">
        <f t="shared" si="54"/>
        <v>-2284.6048747672157</v>
      </c>
      <c r="CP21" s="241"/>
      <c r="CQ21" s="241"/>
      <c r="CR21" s="241"/>
      <c r="CT21" s="241"/>
      <c r="CU21" s="241"/>
      <c r="CV21" s="241"/>
      <c r="CX21" s="241"/>
      <c r="CY21" s="241"/>
      <c r="CZ21" s="241"/>
      <c r="DA21" s="241">
        <f t="shared" si="55"/>
        <v>-1148.2668878978238</v>
      </c>
      <c r="DC21" s="241">
        <f t="shared" si="57"/>
        <v>-1148.2668878978238</v>
      </c>
      <c r="DD21" s="241">
        <f t="shared" si="58"/>
        <v>-1148.2668878978238</v>
      </c>
      <c r="DE21" s="241">
        <f t="shared" si="59"/>
        <v>-1148.2668878978238</v>
      </c>
      <c r="DG21" s="241"/>
      <c r="DH21" s="241"/>
      <c r="DI21" s="241"/>
      <c r="DK21" s="241"/>
      <c r="DL21" s="241"/>
      <c r="DM21" s="241"/>
      <c r="DO21" s="241"/>
      <c r="DP21" s="241"/>
      <c r="DQ21" s="241"/>
      <c r="DR21" s="241"/>
      <c r="DS21" s="241">
        <f t="shared" si="3"/>
        <v>-1148.2668878978238</v>
      </c>
    </row>
    <row r="22" spans="1:123" ht="15.75" customHeight="1">
      <c r="A22" s="243">
        <v>18</v>
      </c>
      <c r="B22" s="244">
        <f>B21*(1+'Immobilie als Kapitalanlage'!$D$47)</f>
        <v>297840.72144597949</v>
      </c>
      <c r="C22" s="241">
        <f>$C$4*(1+'Immobilie als Kapitalanlage'!$D$47)^A22</f>
        <v>0</v>
      </c>
      <c r="D22" s="244">
        <f t="shared" si="69"/>
        <v>297840.72144597949</v>
      </c>
      <c r="E22" s="138"/>
      <c r="F22" s="245">
        <f>MAX(-FV('Immobilie als Kapitalanlage'!$D$26/12,A22*12,(-I22/12),'Immobilie als Kapitalanlage'!$C$25,0),0)</f>
        <v>155530.06050122669</v>
      </c>
      <c r="G22" s="245">
        <f>IF(I22-H22&gt;G21,F21*'Immobilie als Kapitalanlage'!$D$26,I22-H22)</f>
        <v>5574.5943119141739</v>
      </c>
      <c r="H22" s="241">
        <f t="shared" si="4"/>
        <v>6875.4056880858261</v>
      </c>
      <c r="I22" s="241">
        <f>$F$4*('Immobilie als Kapitalanlage'!$D$26+'Immobilie als Kapitalanlage'!$D$36)</f>
        <v>12450</v>
      </c>
      <c r="J22" s="245">
        <f>MAX((-FV('Immobilie als Kapitalanlage'!$C$85/12,(A22-$A$14)*12,(-M22/12),$J$14,0)),0)</f>
        <v>165897.21184151358</v>
      </c>
      <c r="K22" s="241">
        <f t="shared" si="98"/>
        <v>6755.9019551157235</v>
      </c>
      <c r="L22" s="241">
        <f t="shared" si="99"/>
        <v>5505.4959113274235</v>
      </c>
      <c r="M22" s="241">
        <f>$J$14*('Immobilie als Kapitalanlage'!$C$85+'Immobilie als Kapitalanlage'!$C$86)</f>
        <v>12261.397866443147</v>
      </c>
      <c r="N22" s="245">
        <f>MAX((-FV('Immobilie als Kapitalanlage'!$C$88/12,(A22-$A$19)*12,(-Q22/12),$N$19,0)),0)</f>
        <v>158954.09235324521</v>
      </c>
      <c r="O22" s="245">
        <f t="shared" si="115"/>
        <v>4861.1206172534166</v>
      </c>
      <c r="P22" s="241">
        <f t="shared" si="116"/>
        <v>5666.2377222052601</v>
      </c>
      <c r="Q22" s="241">
        <f>$N$19*('Immobilie als Kapitalanlage'!$C$88+'Immobilie als Kapitalanlage'!$C$89)</f>
        <v>10527.358339458677</v>
      </c>
      <c r="R22" s="250">
        <f t="shared" si="6"/>
        <v>-2039.8716994795236</v>
      </c>
      <c r="S22" s="250">
        <f>'Immobilie als Kapitalanlage'!$C$27*12*(1+'Immobilie als Kapitalanlage'!$D$44)^A21</f>
        <v>-342.77909941830546</v>
      </c>
      <c r="T22" s="250">
        <f>'Immobilie als Kapitalanlage'!$C$29*12*(1+'Immobilie als Kapitalanlage'!$D$44)^A21</f>
        <v>-1193.0056891519455</v>
      </c>
      <c r="U22" s="250">
        <f>'Immobilie als Kapitalanlage'!$C$30*12*(1+'Immobilie als Kapitalanlage'!$D$44)^A21</f>
        <v>-504.08691090927277</v>
      </c>
      <c r="V22" s="250">
        <f>'Immobilie als Kapitalanlage'!$C$28*12*(1+'Immobilie als Kapitalanlage'!$D$44)^A21</f>
        <v>-856.94774854576372</v>
      </c>
      <c r="W22" s="241">
        <f>$W$5*(1+'Immobilie als Kapitalanlage'!$D$43)^A21</f>
        <v>14282.462475762728</v>
      </c>
      <c r="X22" s="241">
        <f>$X$5*(1+'Immobilie als Kapitalanlage'!$D$43)^A21</f>
        <v>16282.007222369508</v>
      </c>
      <c r="Y22" s="241">
        <f>-'Immobilie als Kapitalanlage'!$C$25*'Immobilie als Kapitalanlage'!$D$99</f>
        <v>0</v>
      </c>
      <c r="Z22" s="241">
        <f t="shared" si="7"/>
        <v>0</v>
      </c>
      <c r="AA22" s="241">
        <f>FV((((1+'Immobilie als Kapitalanlage'!$D$80)^(1/12)-1)),A22*12,Y22/12,-'Immobilie als Kapitalanlage'!$G$95,)</f>
        <v>0</v>
      </c>
      <c r="AB22" s="241">
        <f>$AB$5*(1+'Immobilie als Kapitalanlage'!$D$51)^A21</f>
        <v>112019.31353539396</v>
      </c>
      <c r="AC22" s="241">
        <f>IF(AND(AB22&gt;Steuern!$D$6,AB22&lt;Steuern!$D$10),INT((Steuern!$H$8*(AB22-Steuern!$D$6)/10000+Steuern!$I$8)*(AB22-Steuern!$D$6)/10000),IF(AND(AB22&gt;Steuern!$F$8,AB22&lt;Steuern!$D$12),INT((Steuern!$H$10*(AB22-Steuern!$F$8)/10000+Steuern!$I$10)*(AB22-Steuern!$F$8)/10000+Steuern!$J$10),IF(AND(AB22&gt;Steuern!$F$10,AB22&lt;Steuern!$D$14),INT(AB22*Steuern!$H$12-Steuern!$I$12),IF(AB22&gt;Steuern!$F$12,INT(AB22*Steuern!$H$14-Steuern!$I$14),0))))</f>
        <v>37075</v>
      </c>
      <c r="AD22" s="241">
        <f>IF(AND(AB22/2&gt;Steuern!$D$6,AB22/2&lt;Steuern!$D$10),INT((Steuern!$H$8*(AB22/2-Steuern!$D$8)/10000+Steuern!$I$8)*(AB22/2-Steuern!$D$6)/10000),IF(AND(AB22/2&gt;Steuern!$F$8,AB22/2&lt;Steuern!$D$12),INT((Steuern!$H$10*(AB22/2-Steuern!$F$8)/10000+Steuern!$I$10)*(AB22/2-Steuern!$F$8)/10000+Steuern!$J$10),IF(AND(AB22/2&gt;Steuern!$F$10,AB22/2&lt;Steuern!$D$14),INT(AB22/2*Steuern!$H$12-Steuern!$I$12),IF(AB22/2&gt;Steuern!$F$12,INT(AB22/2*Steuern!$H$14-Steuern!$I$14),0))))*2</f>
        <v>27280</v>
      </c>
      <c r="AE22" s="241">
        <f t="shared" si="8"/>
        <v>6667.9964643690309</v>
      </c>
      <c r="AF22" s="241">
        <f t="shared" si="9"/>
        <v>5486.6888211674814</v>
      </c>
      <c r="AG22" s="241">
        <f t="shared" si="10"/>
        <v>7381.4701590297882</v>
      </c>
      <c r="AH22" s="241">
        <f t="shared" si="11"/>
        <v>8667.5412109758108</v>
      </c>
      <c r="AI22" s="241">
        <f t="shared" si="12"/>
        <v>7486.2335677742612</v>
      </c>
      <c r="AJ22" s="241">
        <f t="shared" si="13"/>
        <v>9381.0149056365681</v>
      </c>
      <c r="AK22" s="248"/>
      <c r="AL22" s="241">
        <f>('Immobilie als Kapitalanlage'!$C$16+'Immobilie als Kapitalanlage'!$C$20+'Immobilie als Kapitalanlage'!$C$15)*(1-'Immobilie als Kapitalanlage'!$D$53)</f>
        <v>190858.5</v>
      </c>
      <c r="AM22" s="241">
        <f>AL22*'Immobilie als Kapitalanlage'!$D$52</f>
        <v>3817.17</v>
      </c>
      <c r="AN22" s="241">
        <f t="shared" si="14"/>
        <v>114870.13999976299</v>
      </c>
      <c r="AO22" s="241">
        <f>IF(AND(AN22&gt;Steuern!$D$6,AN22&lt;Steuern!$D$10),INT((Steuern!H17*(AN22-Steuern!$D$8)/10000+Steuern!$I$8)*(AN22-Steuern!$D$6)/10000),IF(AND(AN22&gt;Steuern!$F$8,AN22&lt;Steuern!$D$12),INT((Steuern!$H$10*(AN22-Steuern!$F$8)/10000+Steuern!$I$10)*(AN22-Steuern!$F$8)/10000+Steuern!$J$10),IF(AND(AN22&gt;Steuern!$F$10,AN22&lt;Steuern!$D$14),INT(AN22*Steuern!$H$12-Steuern!$I$12),IF(AN22&gt;Steuern!$F$12,INT(AN22*Steuern!$H$14-Steuern!$I$14),0))))</f>
        <v>38272</v>
      </c>
      <c r="AP22" s="241">
        <f>IF(AND(AN22/2&gt;Steuern!$D$6,AN22/2&lt;Steuern!$D$10),INT((Steuern!$H$8*(AN22/2-Steuern!$D$8)/10000+Steuern!$I$8)*(AN22/2-Steuern!$D$6)/10000),IF(AND(AN22/2&gt;Steuern!$F$8,AN22/2&lt;Steuern!$D$12),INT((Steuern!$H$10*(AN22/2-Steuern!$F$8)/10000+Steuern!$I$10)*(AN22/2-Steuern!$F$8)/10000+Steuern!$J$10),IF(AND(AN22/2&gt;Steuern!$F$10,AN22/2&lt;Steuern!$D$14),INT(AN22/2*Steuern!$H$12-Steuern!$I$12),IF(AN22/2&gt;Steuern!$F$12,INT(AN22/2*Steuern!$H$14-Steuern!$I$14),0))))*2</f>
        <v>28410</v>
      </c>
      <c r="AQ22" s="241">
        <f t="shared" si="15"/>
        <v>113688.83235656144</v>
      </c>
      <c r="AR22" s="241">
        <f>IF(AND(AQ22&gt;Steuern!$D$6,AQ22&lt;Steuern!$D$10),INT((Steuern!$H$8*(AQ22-Steuern!$D$6)/10000+Steuern!$I$8)*(AQ22-Steuern!$D$6)/10000),IF(AND(AQ22&gt;Steuern!$F$8,AQ22&lt;Steuern!$D$12),INT((Steuern!$H$10*(AQ22-Steuern!$F$8)/10000+Steuern!$I$10)*(AQ22-Steuern!$F$8)/10000+Steuern!$J$10),IF(AND(AQ22&gt;Steuern!$F$10,AQ22&lt;Steuern!$D$14),INT(AQ22*Steuern!$H$12-Steuern!$I$12),IF(AQ22&gt;Steuern!$F$12,INT(AQ22*Steuern!$H$14-Steuern!$I$14),0))))</f>
        <v>37776</v>
      </c>
      <c r="AS22" s="241">
        <f t="shared" si="16"/>
        <v>115583.61369442375</v>
      </c>
      <c r="AT22" s="241">
        <f>IF(AND(AS22&gt;Steuern!$D$6,AS22&lt;Steuern!$D$10),INT((Steuern!$H$8*(AS22-Steuern!$D$6)/10000+Steuern!$I$8)*(AS22-Steuern!$D$6)/10000),IF(AND(AS22&gt;Steuern!$F$8,AS22&lt;Steuern!$D$12),INT((Steuern!$H$10*(AS22-Steuern!$F$8)/10000+Steuern!$I$10)*(AS22-Steuern!$F$8)/10000+Steuern!$J$10),IF(AND(AS22&gt;Steuern!$F$10,AS22&lt;Steuern!$D$14),INT(AS22*Steuern!$H$12-Steuern!$I$12),IF(AS22&gt;Steuern!$F$12,INT(AS22*Steuern!$H$14-Steuern!$I$14),0))))</f>
        <v>38572</v>
      </c>
      <c r="AU22" s="241">
        <f t="shared" si="17"/>
        <v>116869.68474636976</v>
      </c>
      <c r="AV22" s="241">
        <f>IF(AND(AU22&gt;Steuern!$D$6,AU22&lt;Steuern!$D$10),INT((Steuern!$H$8*(AU22-Steuern!$D$6)/10000+Steuern!$I$8)*(AU22-Steuern!$D$6)/10000),IF(AND(AU22&gt;Steuern!$F$8,AU22&lt;Steuern!$D$12),INT((Steuern!$H$10*(AU22-Steuern!$F$8)/10000+Steuern!$I$10)*(AU22-Steuern!$F$8)/10000+Steuern!$J$10),IF(AND(AU22&gt;Steuern!$F$10,AU22&lt;Steuern!$D$14),INT(AU22*Steuern!$H$12-Steuern!$I$12),IF(AU22&gt;Steuern!$F$12,INT(AU22*Steuern!$H$14-Steuern!$I$14),0))))</f>
        <v>39112</v>
      </c>
      <c r="AW22" s="241">
        <f>IF(AND(AU22/2&gt;Steuern!$D$6,AU22/2&lt;Steuern!$D$10),INT((Steuern!$H$8*(AU22/2-Steuern!$D$8)/10000+Steuern!$I$8)*(AU22/2-Steuern!$D$6)/10000),IF(AND(AU22/2&gt;Steuern!$F$8,AU22/2&lt;Steuern!$D$12),INT((Steuern!$H$10*(AU22/2-Steuern!$F$8)/10000+Steuern!$I$10)*(AU22/2-Steuern!$F$8)/10000+Steuern!$J$10),IF(AND(AU22/2&gt;Steuern!$F$10,AU22/2&lt;Steuern!$D$14),INT(AU22/2*Steuern!$H$12-Steuern!$I$12),IF(AU22/2&gt;Steuern!$F$12,INT(AU22/2*Steuern!$H$14-Steuern!$I$14),0))))*2</f>
        <v>29212</v>
      </c>
      <c r="AX22" s="241">
        <f t="shared" si="18"/>
        <v>115688.37710316823</v>
      </c>
      <c r="AY22" s="241">
        <f>IF(AND(AX22&gt;Steuern!$D$6,AX22&lt;Steuern!$D$10),INT((Steuern!N17*(AX22-Steuern!$D$8)/10000+Steuern!$I$8)*(AX22-Steuern!$D$6)/10000),IF(AND(AX22&gt;Steuern!$F$8,AX22&lt;Steuern!$D$12),INT((Steuern!$H$10*(AX22-Steuern!$F$8)/10000+Steuern!$I$10)*(AX22-Steuern!$F$8)/10000+Steuern!$J$10),IF(AND(AX22&gt;Steuern!$F$10,AX22&lt;Steuern!$D$14),INT(AX22*Steuern!$H$12-Steuern!$I$12),IF(AX22&gt;Steuern!$F$12,INT(AX22*Steuern!$H$14-Steuern!$I$14),0))))</f>
        <v>38616</v>
      </c>
      <c r="AZ22" s="241">
        <f t="shared" si="19"/>
        <v>117583.15844103052</v>
      </c>
      <c r="BA22" s="241">
        <f>IF(AND(AZ22&gt;Steuern!$D$6,AZ22&lt;Steuern!$D$10),INT((Steuern!P17*(AZ22-Steuern!$D$8)/10000+Steuern!$I$8)*(AZ22-Steuern!$D$6)/10000),IF(AND(AZ22&gt;Steuern!$F$8,AZ22&lt;Steuern!$D$12),INT((Steuern!$H$10*(AZ22-Steuern!$F$8)/10000+Steuern!$I$10)*(AZ22-Steuern!$F$8)/10000+Steuern!$J$10),IF(AND(AZ22&gt;Steuern!$F$10,AZ22&lt;Steuern!$D$14),INT(AZ22*Steuern!$H$12-Steuern!$I$12),IF(AZ22&gt;Steuern!$F$12,INT(AZ22*Steuern!$H$14-Steuern!$I$14),0))))</f>
        <v>39411</v>
      </c>
      <c r="BB22" s="241">
        <f t="shared" ref="BB22:BC22" si="121">AC22-AO22</f>
        <v>-1197</v>
      </c>
      <c r="BC22" s="241">
        <f t="shared" si="121"/>
        <v>-1130</v>
      </c>
      <c r="BD22" s="241">
        <f t="shared" si="21"/>
        <v>-701</v>
      </c>
      <c r="BE22" s="241">
        <f t="shared" si="22"/>
        <v>-1497</v>
      </c>
      <c r="BF22" s="241">
        <f t="shared" ref="BF22:BG22" si="122">AC22-AV22</f>
        <v>-2037</v>
      </c>
      <c r="BG22" s="241">
        <f t="shared" si="122"/>
        <v>-1932</v>
      </c>
      <c r="BH22" s="241">
        <f t="shared" si="24"/>
        <v>-1541</v>
      </c>
      <c r="BI22" s="241">
        <f t="shared" si="25"/>
        <v>-2336</v>
      </c>
      <c r="BJ22" s="241">
        <f t="shared" si="26"/>
        <v>-2261.356972262558</v>
      </c>
      <c r="BK22" s="241">
        <f t="shared" si="27"/>
        <v>-2194.356972262558</v>
      </c>
      <c r="BL22" s="241">
        <f t="shared" si="28"/>
        <v>-1576.7548387057068</v>
      </c>
      <c r="BM22" s="241">
        <f t="shared" si="29"/>
        <v>-638.7153117212365</v>
      </c>
      <c r="BN22" s="241">
        <f t="shared" si="30"/>
        <v>-2261.356972262558</v>
      </c>
      <c r="BO22" s="241">
        <f t="shared" si="31"/>
        <v>-68551.205585390489</v>
      </c>
      <c r="BP22" s="241">
        <f t="shared" si="32"/>
        <v>-2194.356972262558</v>
      </c>
      <c r="BQ22" s="241">
        <f t="shared" si="33"/>
        <v>-70019.205585390489</v>
      </c>
      <c r="BR22" s="241">
        <f t="shared" si="34"/>
        <v>-1576.7548387057068</v>
      </c>
      <c r="BS22" s="241">
        <f t="shared" si="35"/>
        <v>-63322.38851693568</v>
      </c>
      <c r="BT22" s="241">
        <f t="shared" si="36"/>
        <v>-638.7153117212365</v>
      </c>
      <c r="BU22" s="241">
        <f t="shared" si="37"/>
        <v>-63769.280603766521</v>
      </c>
      <c r="BV22" s="241">
        <f t="shared" si="38"/>
        <v>-1101.8122256557781</v>
      </c>
      <c r="BW22" s="241">
        <f t="shared" si="39"/>
        <v>-996.81222565577809</v>
      </c>
      <c r="BX22" s="241">
        <f t="shared" si="40"/>
        <v>-417.21009209892691</v>
      </c>
      <c r="BY22" s="241">
        <f t="shared" si="41"/>
        <v>521.82943488554338</v>
      </c>
      <c r="BZ22" s="241">
        <f t="shared" si="42"/>
        <v>-1101.8122256557781</v>
      </c>
      <c r="CA22" s="241">
        <f t="shared" si="43"/>
        <v>-50818.423508444641</v>
      </c>
      <c r="CB22" s="241">
        <f t="shared" si="44"/>
        <v>-996.81222565577809</v>
      </c>
      <c r="CC22" s="241">
        <f t="shared" si="45"/>
        <v>-50574.423508444641</v>
      </c>
      <c r="CD22" s="241">
        <f t="shared" si="46"/>
        <v>-417.21009209892691</v>
      </c>
      <c r="CE22" s="241">
        <f t="shared" si="47"/>
        <v>-45587.606439989831</v>
      </c>
      <c r="CF22" s="241">
        <f t="shared" si="48"/>
        <v>521.82943488554338</v>
      </c>
      <c r="CG22" s="241">
        <f t="shared" si="49"/>
        <v>-46033.49852682068</v>
      </c>
      <c r="CH22" s="248"/>
      <c r="CI22" s="249">
        <f t="shared" ca="1" si="64"/>
        <v>52110</v>
      </c>
      <c r="CJ22" s="241">
        <f t="shared" si="50"/>
        <v>-2261.356972262558</v>
      </c>
      <c r="CK22" s="138"/>
      <c r="CL22" s="241">
        <f t="shared" si="52"/>
        <v>-2261.356972262558</v>
      </c>
      <c r="CM22" s="241">
        <f t="shared" si="53"/>
        <v>-2261.356972262558</v>
      </c>
      <c r="CN22" s="241">
        <f t="shared" si="54"/>
        <v>-2261.356972262558</v>
      </c>
      <c r="CO22" s="248"/>
      <c r="CP22" s="241"/>
      <c r="CQ22" s="241"/>
      <c r="CR22" s="241"/>
      <c r="CS22" s="248"/>
      <c r="CT22" s="241"/>
      <c r="CU22" s="241"/>
      <c r="CV22" s="241"/>
      <c r="CW22" s="248"/>
      <c r="CX22" s="241"/>
      <c r="CY22" s="241"/>
      <c r="CZ22" s="241"/>
      <c r="DA22" s="241">
        <f t="shared" si="55"/>
        <v>-1101.8122256557781</v>
      </c>
      <c r="DB22" s="248"/>
      <c r="DC22" s="241">
        <f t="shared" si="57"/>
        <v>-1101.8122256557781</v>
      </c>
      <c r="DD22" s="241">
        <f t="shared" si="58"/>
        <v>-1101.8122256557781</v>
      </c>
      <c r="DE22" s="241">
        <f t="shared" si="59"/>
        <v>-1101.8122256557781</v>
      </c>
      <c r="DF22" s="248"/>
      <c r="DG22" s="241"/>
      <c r="DH22" s="241"/>
      <c r="DI22" s="241"/>
      <c r="DJ22" s="248"/>
      <c r="DK22" s="241"/>
      <c r="DL22" s="241"/>
      <c r="DM22" s="241"/>
      <c r="DN22" s="248"/>
      <c r="DO22" s="241"/>
      <c r="DP22" s="241"/>
      <c r="DQ22" s="241"/>
      <c r="DR22" s="241"/>
      <c r="DS22" s="241">
        <f t="shared" si="3"/>
        <v>-1101.8122256557781</v>
      </c>
    </row>
    <row r="23" spans="1:123" ht="15.75" customHeight="1">
      <c r="A23" s="243">
        <v>19</v>
      </c>
      <c r="B23" s="244">
        <f>B22*(1+'Immobilie als Kapitalanlage'!$D$47)</f>
        <v>300819.12866043928</v>
      </c>
      <c r="C23" s="241">
        <f>$C$4*(1+'Immobilie als Kapitalanlage'!$D$47)^A23</f>
        <v>0</v>
      </c>
      <c r="D23" s="244">
        <f t="shared" si="69"/>
        <v>300819.12866043928</v>
      </c>
      <c r="E23" s="138"/>
      <c r="F23" s="245">
        <f>MAX(-FV('Immobilie als Kapitalanlage'!$D$26/12,A23*12,(-I23/12),'Immobilie als Kapitalanlage'!$C$25,0),0)</f>
        <v>148410.11758254824</v>
      </c>
      <c r="G23" s="245">
        <f>IF(I23-H23&gt;G22,F22*'Immobilie als Kapitalanlage'!$D$26,I23-H23)</f>
        <v>5330.0570813215454</v>
      </c>
      <c r="H23" s="241">
        <f t="shared" si="4"/>
        <v>7119.9429186784546</v>
      </c>
      <c r="I23" s="241">
        <f>$F$4*('Immobilie als Kapitalanlage'!$D$26+'Immobilie als Kapitalanlage'!$D$36)</f>
        <v>12450</v>
      </c>
      <c r="J23" s="245">
        <f>MAX((-FV('Immobilie als Kapitalanlage'!$C$85/12,(A23-$A$14)*12,(-M23/12),$J$14,0)),0)</f>
        <v>160167.41353222018</v>
      </c>
      <c r="K23" s="241">
        <f t="shared" si="98"/>
        <v>6531.599557149746</v>
      </c>
      <c r="L23" s="241">
        <f t="shared" si="99"/>
        <v>5729.798309293401</v>
      </c>
      <c r="M23" s="241">
        <f>$J$14*('Immobilie als Kapitalanlage'!$C$85+'Immobilie als Kapitalanlage'!$C$86)</f>
        <v>12261.397866443147</v>
      </c>
      <c r="N23" s="245">
        <f>MAX((-FV('Immobilie als Kapitalanlage'!$C$88/12,(A23-$A$19)*12,(-Q23/12),$N$19,0)),0)</f>
        <v>153115.51058861974</v>
      </c>
      <c r="O23" s="245">
        <f t="shared" si="115"/>
        <v>4688.776574833204</v>
      </c>
      <c r="P23" s="241">
        <f t="shared" si="116"/>
        <v>5838.5817646254727</v>
      </c>
      <c r="Q23" s="241">
        <f>$N$19*('Immobilie als Kapitalanlage'!$C$88+'Immobilie als Kapitalanlage'!$C$89)</f>
        <v>10527.358339458677</v>
      </c>
      <c r="R23" s="250">
        <f t="shared" si="6"/>
        <v>-2080.6691334691141</v>
      </c>
      <c r="S23" s="250">
        <f>'Immobilie als Kapitalanlage'!$C$27*12*(1+'Immobilie als Kapitalanlage'!$D$44)^A22</f>
        <v>-349.63468140667152</v>
      </c>
      <c r="T23" s="250">
        <f>'Immobilie als Kapitalanlage'!$C$29*12*(1+'Immobilie als Kapitalanlage'!$D$44)^A22</f>
        <v>-1216.8658029349845</v>
      </c>
      <c r="U23" s="250">
        <f>'Immobilie als Kapitalanlage'!$C$30*12*(1+'Immobilie als Kapitalanlage'!$D$44)^A22</f>
        <v>-514.16864912745814</v>
      </c>
      <c r="V23" s="250">
        <f>'Immobilie als Kapitalanlage'!$C$28*12*(1+'Immobilie als Kapitalanlage'!$D$44)^A22</f>
        <v>-874.08670351667888</v>
      </c>
      <c r="W23" s="241">
        <f>$W$5*(1+'Immobilie als Kapitalanlage'!$D$43)^A22</f>
        <v>14568.111725277982</v>
      </c>
      <c r="X23" s="241">
        <f>$X$5*(1+'Immobilie als Kapitalanlage'!$D$43)^A22</f>
        <v>16607.647366816898</v>
      </c>
      <c r="Y23" s="241">
        <f>-'Immobilie als Kapitalanlage'!$C$25*'Immobilie als Kapitalanlage'!$D$99</f>
        <v>0</v>
      </c>
      <c r="Z23" s="241">
        <f t="shared" si="7"/>
        <v>0</v>
      </c>
      <c r="AA23" s="241">
        <f>FV((((1+'Immobilie als Kapitalanlage'!$D$80)^(1/12)-1)),A23*12,Y23/12,-'Immobilie als Kapitalanlage'!$G$95,)</f>
        <v>0</v>
      </c>
      <c r="AB23" s="241">
        <f>$AB$5*(1+'Immobilie als Kapitalanlage'!$D$51)^A22</f>
        <v>114259.69980610182</v>
      </c>
      <c r="AC23" s="241">
        <f>IF(AND(AB23&gt;Steuern!$D$6,AB23&lt;Steuern!$D$10),INT((Steuern!$H$8*(AB23-Steuern!$D$6)/10000+Steuern!$I$8)*(AB23-Steuern!$D$6)/10000),IF(AND(AB23&gt;Steuern!$F$8,AB23&lt;Steuern!$D$12),INT((Steuern!$H$10*(AB23-Steuern!$F$8)/10000+Steuern!$I$10)*(AB23-Steuern!$F$8)/10000+Steuern!$J$10),IF(AND(AB23&gt;Steuern!$F$10,AB23&lt;Steuern!$D$14),INT(AB23*Steuern!$H$12-Steuern!$I$12),IF(AB23&gt;Steuern!$F$12,INT(AB23*Steuern!$H$14-Steuern!$I$14),0))))</f>
        <v>38016</v>
      </c>
      <c r="AD23" s="241">
        <f>IF(AND(AB23/2&gt;Steuern!$D$6,AB23/2&lt;Steuern!$D$10),INT((Steuern!$H$8*(AB23/2-Steuern!$D$8)/10000+Steuern!$I$8)*(AB23/2-Steuern!$D$6)/10000),IF(AND(AB23/2&gt;Steuern!$F$8,AB23/2&lt;Steuern!$D$12),INT((Steuern!$H$10*(AB23/2-Steuern!$F$8)/10000+Steuern!$I$10)*(AB23/2-Steuern!$F$8)/10000+Steuern!$J$10),IF(AND(AB23/2&gt;Steuern!$F$10,AB23/2&lt;Steuern!$D$14),INT(AB23/2*Steuern!$H$12-Steuern!$I$12),IF(AB23/2&gt;Steuern!$F$12,INT(AB23/2*Steuern!$H$14-Steuern!$I$14),0))))*2</f>
        <v>28166</v>
      </c>
      <c r="AE23" s="241">
        <f t="shared" si="8"/>
        <v>7157.3855104873228</v>
      </c>
      <c r="AF23" s="241">
        <f t="shared" si="9"/>
        <v>5955.8430346591213</v>
      </c>
      <c r="AG23" s="241">
        <f t="shared" si="10"/>
        <v>7798.6660169756642</v>
      </c>
      <c r="AH23" s="241">
        <f t="shared" si="11"/>
        <v>9196.9211520262397</v>
      </c>
      <c r="AI23" s="241">
        <f t="shared" si="12"/>
        <v>7995.3786761980373</v>
      </c>
      <c r="AJ23" s="241">
        <f t="shared" si="13"/>
        <v>9838.2016585145793</v>
      </c>
      <c r="AK23" s="248"/>
      <c r="AL23" s="241">
        <f>('Immobilie als Kapitalanlage'!$C$16+'Immobilie als Kapitalanlage'!$C$20+'Immobilie als Kapitalanlage'!$C$15)*(1-'Immobilie als Kapitalanlage'!$D$53)</f>
        <v>190858.5</v>
      </c>
      <c r="AM23" s="241">
        <f>AL23*'Immobilie als Kapitalanlage'!$D$52</f>
        <v>3817.17</v>
      </c>
      <c r="AN23" s="241">
        <f t="shared" si="14"/>
        <v>117599.91531658915</v>
      </c>
      <c r="AO23" s="241">
        <f>IF(AND(AN23&gt;Steuern!$D$6,AN23&lt;Steuern!$D$10),INT((Steuern!H18*(AN23-Steuern!$D$8)/10000+Steuern!$I$8)*(AN23-Steuern!$D$6)/10000),IF(AND(AN23&gt;Steuern!$F$8,AN23&lt;Steuern!$D$12),INT((Steuern!$H$10*(AN23-Steuern!$F$8)/10000+Steuern!$I$10)*(AN23-Steuern!$F$8)/10000+Steuern!$J$10),IF(AND(AN23&gt;Steuern!$F$10,AN23&lt;Steuern!$D$14),INT(AN23*Steuern!$H$12-Steuern!$I$12),IF(AN23&gt;Steuern!$F$12,INT(AN23*Steuern!$H$14-Steuern!$I$14),0))))</f>
        <v>39418</v>
      </c>
      <c r="AP23" s="241">
        <f>IF(AND(AN23/2&gt;Steuern!$D$6,AN23/2&lt;Steuern!$D$10),INT((Steuern!$H$8*(AN23/2-Steuern!$D$8)/10000+Steuern!$I$8)*(AN23/2-Steuern!$D$6)/10000),IF(AND(AN23/2&gt;Steuern!$F$8,AN23/2&lt;Steuern!$D$12),INT((Steuern!$H$10*(AN23/2-Steuern!$F$8)/10000+Steuern!$I$10)*(AN23/2-Steuern!$F$8)/10000+Steuern!$J$10),IF(AND(AN23/2&gt;Steuern!$F$10,AN23/2&lt;Steuern!$D$14),INT(AN23/2*Steuern!$H$12-Steuern!$I$12),IF(AN23/2&gt;Steuern!$F$12,INT(AN23/2*Steuern!$H$14-Steuern!$I$14),0))))*2</f>
        <v>29508</v>
      </c>
      <c r="AQ23" s="241">
        <f t="shared" si="15"/>
        <v>116398.37284076095</v>
      </c>
      <c r="AR23" s="241">
        <f>IF(AND(AQ23&gt;Steuern!$D$6,AQ23&lt;Steuern!$D$10),INT((Steuern!$H$8*(AQ23-Steuern!$D$6)/10000+Steuern!$I$8)*(AQ23-Steuern!$D$6)/10000),IF(AND(AQ23&gt;Steuern!$F$8,AQ23&lt;Steuern!$D$12),INT((Steuern!$H$10*(AQ23-Steuern!$F$8)/10000+Steuern!$I$10)*(AQ23-Steuern!$F$8)/10000+Steuern!$J$10),IF(AND(AQ23&gt;Steuern!$F$10,AQ23&lt;Steuern!$D$14),INT(AQ23*Steuern!$H$12-Steuern!$I$12),IF(AQ23&gt;Steuern!$F$12,INT(AQ23*Steuern!$H$14-Steuern!$I$14),0))))</f>
        <v>38914</v>
      </c>
      <c r="AS23" s="241">
        <f t="shared" si="16"/>
        <v>118241.19582307749</v>
      </c>
      <c r="AT23" s="241">
        <f>IF(AND(AS23&gt;Steuern!$D$6,AS23&lt;Steuern!$D$10),INT((Steuern!$H$8*(AS23-Steuern!$D$6)/10000+Steuern!$I$8)*(AS23-Steuern!$D$6)/10000),IF(AND(AS23&gt;Steuern!$F$8,AS23&lt;Steuern!$D$12),INT((Steuern!$H$10*(AS23-Steuern!$F$8)/10000+Steuern!$I$10)*(AS23-Steuern!$F$8)/10000+Steuern!$J$10),IF(AND(AS23&gt;Steuern!$F$10,AS23&lt;Steuern!$D$14),INT(AS23*Steuern!$H$12-Steuern!$I$12),IF(AS23&gt;Steuern!$F$12,INT(AS23*Steuern!$H$14-Steuern!$I$14),0))))</f>
        <v>39688</v>
      </c>
      <c r="AU23" s="241">
        <f t="shared" si="17"/>
        <v>119639.45095812807</v>
      </c>
      <c r="AV23" s="241">
        <f>IF(AND(AU23&gt;Steuern!$D$6,AU23&lt;Steuern!$D$10),INT((Steuern!$H$8*(AU23-Steuern!$D$6)/10000+Steuern!$I$8)*(AU23-Steuern!$D$6)/10000),IF(AND(AU23&gt;Steuern!$F$8,AU23&lt;Steuern!$D$12),INT((Steuern!$H$10*(AU23-Steuern!$F$8)/10000+Steuern!$I$10)*(AU23-Steuern!$F$8)/10000+Steuern!$J$10),IF(AND(AU23&gt;Steuern!$F$10,AU23&lt;Steuern!$D$14),INT(AU23*Steuern!$H$12-Steuern!$I$12),IF(AU23&gt;Steuern!$F$12,INT(AU23*Steuern!$H$14-Steuern!$I$14),0))))</f>
        <v>40275</v>
      </c>
      <c r="AW23" s="241">
        <f>IF(AND(AU23/2&gt;Steuern!$D$6,AU23/2&lt;Steuern!$D$10),INT((Steuern!$H$8*(AU23/2-Steuern!$D$8)/10000+Steuern!$I$8)*(AU23/2-Steuern!$D$6)/10000),IF(AND(AU23/2&gt;Steuern!$F$8,AU23/2&lt;Steuern!$D$12),INT((Steuern!$H$10*(AU23/2-Steuern!$F$8)/10000+Steuern!$I$10)*(AU23/2-Steuern!$F$8)/10000+Steuern!$J$10),IF(AND(AU23/2&gt;Steuern!$F$10,AU23/2&lt;Steuern!$D$14),INT(AU23/2*Steuern!$H$12-Steuern!$I$12),IF(AU23/2&gt;Steuern!$F$12,INT(AU23/2*Steuern!$H$14-Steuern!$I$14),0))))*2</f>
        <v>30336</v>
      </c>
      <c r="AX23" s="241">
        <f t="shared" si="18"/>
        <v>118437.90848229987</v>
      </c>
      <c r="AY23" s="241">
        <f>IF(AND(AX23&gt;Steuern!$D$6,AX23&lt;Steuern!$D$10),INT((Steuern!N18*(AX23-Steuern!$D$8)/10000+Steuern!$I$8)*(AX23-Steuern!$D$6)/10000),IF(AND(AX23&gt;Steuern!$F$8,AX23&lt;Steuern!$D$12),INT((Steuern!$H$10*(AX23-Steuern!$F$8)/10000+Steuern!$I$10)*(AX23-Steuern!$F$8)/10000+Steuern!$J$10),IF(AND(AX23&gt;Steuern!$F$10,AX23&lt;Steuern!$D$14),INT(AX23*Steuern!$H$12-Steuern!$I$12),IF(AX23&gt;Steuern!$F$12,INT(AX23*Steuern!$H$14-Steuern!$I$14),0))))</f>
        <v>39770</v>
      </c>
      <c r="AZ23" s="241">
        <f t="shared" si="19"/>
        <v>120280.7314646164</v>
      </c>
      <c r="BA23" s="241">
        <f>IF(AND(AZ23&gt;Steuern!$D$6,AZ23&lt;Steuern!$D$10),INT((Steuern!P18*(AZ23-Steuern!$D$8)/10000+Steuern!$I$8)*(AZ23-Steuern!$D$6)/10000),IF(AND(AZ23&gt;Steuern!$F$8,AZ23&lt;Steuern!$D$12),INT((Steuern!$H$10*(AZ23-Steuern!$F$8)/10000+Steuern!$I$10)*(AZ23-Steuern!$F$8)/10000+Steuern!$J$10),IF(AND(AZ23&gt;Steuern!$F$10,AZ23&lt;Steuern!$D$14),INT(AZ23*Steuern!$H$12-Steuern!$I$12),IF(AZ23&gt;Steuern!$F$12,INT(AZ23*Steuern!$H$14-Steuern!$I$14),0))))</f>
        <v>40544</v>
      </c>
      <c r="BB23" s="241">
        <f t="shared" ref="BB23:BC23" si="123">AC23-AO23</f>
        <v>-1402</v>
      </c>
      <c r="BC23" s="241">
        <f t="shared" si="123"/>
        <v>-1342</v>
      </c>
      <c r="BD23" s="241">
        <f t="shared" si="21"/>
        <v>-898</v>
      </c>
      <c r="BE23" s="241">
        <f t="shared" si="22"/>
        <v>-1672</v>
      </c>
      <c r="BF23" s="241">
        <f t="shared" ref="BF23:BG23" si="124">AC23-AV23</f>
        <v>-2259</v>
      </c>
      <c r="BG23" s="241">
        <f t="shared" si="124"/>
        <v>-2170</v>
      </c>
      <c r="BH23" s="241">
        <f t="shared" si="24"/>
        <v>-1754</v>
      </c>
      <c r="BI23" s="241">
        <f t="shared" si="25"/>
        <v>-2528</v>
      </c>
      <c r="BJ23" s="241">
        <f t="shared" si="26"/>
        <v>-2238.6441117078102</v>
      </c>
      <c r="BK23" s="241">
        <f t="shared" si="27"/>
        <v>-2178.6441117078102</v>
      </c>
      <c r="BL23" s="241">
        <f t="shared" si="28"/>
        <v>-1546.041978150959</v>
      </c>
      <c r="BM23" s="241">
        <f t="shared" si="29"/>
        <v>-586.00245116648875</v>
      </c>
      <c r="BN23" s="241">
        <f t="shared" si="30"/>
        <v>-2238.6441117078102</v>
      </c>
      <c r="BO23" s="241">
        <f t="shared" si="31"/>
        <v>-70789.849697098296</v>
      </c>
      <c r="BP23" s="241">
        <f t="shared" si="32"/>
        <v>-2178.6441117078102</v>
      </c>
      <c r="BQ23" s="241">
        <f t="shared" si="33"/>
        <v>-72197.849697098296</v>
      </c>
      <c r="BR23" s="241">
        <f t="shared" si="34"/>
        <v>-1546.041978150959</v>
      </c>
      <c r="BS23" s="241">
        <f t="shared" si="35"/>
        <v>-64868.430495086635</v>
      </c>
      <c r="BT23" s="241">
        <f t="shared" si="36"/>
        <v>-586.00245116648875</v>
      </c>
      <c r="BU23" s="241">
        <f t="shared" si="37"/>
        <v>-64355.28305493301</v>
      </c>
      <c r="BV23" s="241">
        <f t="shared" si="38"/>
        <v>-1056.1084701688942</v>
      </c>
      <c r="BW23" s="241">
        <f t="shared" si="39"/>
        <v>-967.1084701688942</v>
      </c>
      <c r="BX23" s="241">
        <f t="shared" si="40"/>
        <v>-362.50633661204301</v>
      </c>
      <c r="BY23" s="241">
        <f t="shared" si="41"/>
        <v>597.53319037242727</v>
      </c>
      <c r="BZ23" s="241">
        <f t="shared" si="42"/>
        <v>-1056.1084701688942</v>
      </c>
      <c r="CA23" s="241">
        <f t="shared" si="43"/>
        <v>-51874.531978613537</v>
      </c>
      <c r="CB23" s="241">
        <f t="shared" si="44"/>
        <v>-967.1084701688942</v>
      </c>
      <c r="CC23" s="241">
        <f t="shared" si="45"/>
        <v>-51541.531978613537</v>
      </c>
      <c r="CD23" s="241">
        <f t="shared" si="46"/>
        <v>-362.50633661204301</v>
      </c>
      <c r="CE23" s="241">
        <f t="shared" si="47"/>
        <v>-45950.112776601876</v>
      </c>
      <c r="CF23" s="241">
        <f t="shared" si="48"/>
        <v>597.53319037242727</v>
      </c>
      <c r="CG23" s="241">
        <f t="shared" si="49"/>
        <v>-45435.965336448251</v>
      </c>
      <c r="CH23" s="248"/>
      <c r="CI23" s="249">
        <f t="shared" ca="1" si="64"/>
        <v>52475</v>
      </c>
      <c r="CJ23" s="241">
        <f t="shared" si="50"/>
        <v>-2238.6441117078102</v>
      </c>
      <c r="CK23" s="138"/>
      <c r="CL23" s="241">
        <f t="shared" si="52"/>
        <v>-2238.6441117078102</v>
      </c>
      <c r="CM23" s="241">
        <f t="shared" si="53"/>
        <v>-2238.6441117078102</v>
      </c>
      <c r="CN23" s="241">
        <f t="shared" si="54"/>
        <v>-2238.6441117078102</v>
      </c>
      <c r="CO23" s="248"/>
      <c r="CP23" s="241"/>
      <c r="CQ23" s="241"/>
      <c r="CR23" s="241"/>
      <c r="CS23" s="248"/>
      <c r="CT23" s="241"/>
      <c r="CU23" s="241"/>
      <c r="CV23" s="241"/>
      <c r="CW23" s="248"/>
      <c r="CX23" s="241"/>
      <c r="CY23" s="241"/>
      <c r="CZ23" s="241"/>
      <c r="DA23" s="241">
        <f t="shared" si="55"/>
        <v>-1056.1084701688942</v>
      </c>
      <c r="DB23" s="248"/>
      <c r="DC23" s="241">
        <f t="shared" si="57"/>
        <v>-1056.1084701688942</v>
      </c>
      <c r="DD23" s="241">
        <f t="shared" si="58"/>
        <v>-1056.1084701688942</v>
      </c>
      <c r="DE23" s="241">
        <f t="shared" si="59"/>
        <v>-1056.1084701688942</v>
      </c>
      <c r="DF23" s="248"/>
      <c r="DG23" s="241"/>
      <c r="DH23" s="241"/>
      <c r="DI23" s="241"/>
      <c r="DJ23" s="248"/>
      <c r="DK23" s="241"/>
      <c r="DL23" s="241"/>
      <c r="DM23" s="241"/>
      <c r="DN23" s="248"/>
      <c r="DO23" s="241"/>
      <c r="DP23" s="241"/>
      <c r="DQ23" s="241"/>
      <c r="DR23" s="241"/>
      <c r="DS23" s="241">
        <f t="shared" si="3"/>
        <v>-1056.1084701688942</v>
      </c>
    </row>
    <row r="24" spans="1:123" ht="15.75" customHeight="1">
      <c r="A24" s="233">
        <v>20</v>
      </c>
      <c r="B24" s="234">
        <f>B23*(1+'Immobilie als Kapitalanlage'!$D$47)</f>
        <v>303827.31994704367</v>
      </c>
      <c r="C24" s="235">
        <f>$C$4*(1+'Immobilie als Kapitalanlage'!$D$47)^A24</f>
        <v>0</v>
      </c>
      <c r="D24" s="234">
        <f t="shared" si="69"/>
        <v>303827.31994704367</v>
      </c>
      <c r="E24" s="251"/>
      <c r="F24" s="252">
        <f>MAX(-FV('Immobilie als Kapitalanlage'!$D$26/12,A24*12,(-I24/12),'Immobilie als Kapitalanlage'!$C$25,0),0)</f>
        <v>141036.93998910318</v>
      </c>
      <c r="G24" s="252">
        <f>IF(I24-H24&gt;G23,F23*'Immobilie als Kapitalanlage'!$D$26,I24-H24)</f>
        <v>5076.8224065549439</v>
      </c>
      <c r="H24" s="235">
        <f t="shared" si="4"/>
        <v>7373.1775934450561</v>
      </c>
      <c r="I24" s="235">
        <f>$F$4*('Immobilie als Kapitalanlage'!$D$26+'Immobilie als Kapitalanlage'!$D$36)</f>
        <v>12450</v>
      </c>
      <c r="J24" s="252">
        <f>MAX((-FV('Immobilie als Kapitalanlage'!$C$85/12,(A24-$A$14)*12,(-M24/12),$J$14,0)),0)</f>
        <v>154204.17439918689</v>
      </c>
      <c r="K24" s="235">
        <f t="shared" si="98"/>
        <v>6298.1587334098567</v>
      </c>
      <c r="L24" s="235">
        <f t="shared" si="99"/>
        <v>5963.2391330332903</v>
      </c>
      <c r="M24" s="235">
        <f>$J$14*('Immobilie als Kapitalanlage'!$C$85+'Immobilie als Kapitalanlage'!$C$86)</f>
        <v>12261.397866443147</v>
      </c>
      <c r="N24" s="252">
        <f>MAX((-FV('Immobilie als Kapitalanlage'!$C$88/12,(A24-$A$19)*12,(-Q24/12),$N$19,0)),0)</f>
        <v>147099.34277260542</v>
      </c>
      <c r="O24" s="252">
        <f t="shared" si="115"/>
        <v>4511.1905234443566</v>
      </c>
      <c r="P24" s="235">
        <f t="shared" si="116"/>
        <v>6016.1678160143201</v>
      </c>
      <c r="Q24" s="235">
        <f>$N$19*('Immobilie als Kapitalanlage'!$C$88+'Immobilie als Kapitalanlage'!$C$89)</f>
        <v>10527.358339458677</v>
      </c>
      <c r="R24" s="237">
        <f t="shared" si="6"/>
        <v>-2122.2825161384962</v>
      </c>
      <c r="S24" s="237">
        <f>'Immobilie als Kapitalanlage'!$C$27*12*(1+'Immobilie als Kapitalanlage'!$D$44)^A23</f>
        <v>-356.62737503480497</v>
      </c>
      <c r="T24" s="237">
        <f>'Immobilie als Kapitalanlage'!$C$29*12*(1+'Immobilie als Kapitalanlage'!$D$44)^A23</f>
        <v>-1241.203118993684</v>
      </c>
      <c r="U24" s="237">
        <f>'Immobilie als Kapitalanlage'!$C$30*12*(1+'Immobilie als Kapitalanlage'!$D$44)^A23</f>
        <v>-524.45202211000731</v>
      </c>
      <c r="V24" s="237">
        <f>'Immobilie als Kapitalanlage'!$C$28*12*(1+'Immobilie als Kapitalanlage'!$D$44)^A23</f>
        <v>-891.56843758701245</v>
      </c>
      <c r="W24" s="235">
        <f>$W$5*(1+'Immobilie als Kapitalanlage'!$D$43)^A23</f>
        <v>14859.473959783541</v>
      </c>
      <c r="X24" s="235">
        <f>$X$5*(1+'Immobilie als Kapitalanlage'!$D$43)^A23</f>
        <v>16939.800314153235</v>
      </c>
      <c r="Y24" s="235">
        <f>-'Immobilie als Kapitalanlage'!$C$25*'Immobilie als Kapitalanlage'!$D$99</f>
        <v>0</v>
      </c>
      <c r="Z24" s="235">
        <f t="shared" si="7"/>
        <v>0</v>
      </c>
      <c r="AA24" s="235">
        <f>FV((((1+'Immobilie als Kapitalanlage'!$D$80)^(1/12)-1)),A24*12,Y24/12,-'Immobilie als Kapitalanlage'!$G$95,)</f>
        <v>0</v>
      </c>
      <c r="AB24" s="235">
        <f>$AB$5*(1+'Immobilie als Kapitalanlage'!$D$51)^A23</f>
        <v>116544.89380222384</v>
      </c>
      <c r="AC24" s="235">
        <f>IF(AND(AB24&gt;Steuern!$D$6,AB24&lt;Steuern!$D$10),INT((Steuern!$H$8*(AB24-Steuern!$D$6)/10000+Steuern!$I$8)*(AB24-Steuern!$D$6)/10000),IF(AND(AB24&gt;Steuern!$F$8,AB24&lt;Steuern!$D$12),INT((Steuern!$H$10*(AB24-Steuern!$F$8)/10000+Steuern!$I$10)*(AB24-Steuern!$F$8)/10000+Steuern!$J$10),IF(AND(AB24&gt;Steuern!$F$10,AB24&lt;Steuern!$D$14),INT(AB24*Steuern!$H$12-Steuern!$I$12),IF(AB24&gt;Steuern!$F$12,INT(AB24*Steuern!$H$14-Steuern!$I$14),0))))</f>
        <v>38975</v>
      </c>
      <c r="AD24" s="235">
        <f>IF(AND(AB24/2&gt;Steuern!$D$6,AB24/2&lt;Steuern!$D$10),INT((Steuern!$H$8*(AB24/2-Steuern!$D$8)/10000+Steuern!$I$8)*(AB24/2-Steuern!$D$6)/10000),IF(AND(AB24/2&gt;Steuern!$F$8,AB24/2&lt;Steuern!$D$12),INT((Steuern!$H$10*(AB24/2-Steuern!$F$8)/10000+Steuern!$I$10)*(AB24/2-Steuern!$F$8)/10000+Steuern!$J$10),IF(AND(AB24/2&gt;Steuern!$F$10,AB24/2&lt;Steuern!$D$14),INT(AB24/2*Steuern!$H$12-Steuern!$I$12),IF(AB24/2&gt;Steuern!$F$12,INT(AB24/2*Steuern!$H$14-Steuern!$I$14),0))))*2</f>
        <v>29082</v>
      </c>
      <c r="AE24" s="235">
        <f t="shared" si="8"/>
        <v>7660.3690370901013</v>
      </c>
      <c r="AF24" s="235">
        <f t="shared" si="9"/>
        <v>6439.0327102351894</v>
      </c>
      <c r="AG24" s="235">
        <f t="shared" si="10"/>
        <v>8226.0009202006877</v>
      </c>
      <c r="AH24" s="235">
        <f t="shared" si="11"/>
        <v>9740.6953914597943</v>
      </c>
      <c r="AI24" s="235">
        <f t="shared" si="12"/>
        <v>8519.3590646048833</v>
      </c>
      <c r="AJ24" s="235">
        <f t="shared" si="13"/>
        <v>10306.327274570383</v>
      </c>
      <c r="AK24" s="254"/>
      <c r="AL24" s="235">
        <f>('Immobilie als Kapitalanlage'!$C$16+'Immobilie als Kapitalanlage'!$C$20+'Immobilie als Kapitalanlage'!$C$15)*(1-'Immobilie als Kapitalanlage'!$D$53)</f>
        <v>190858.5</v>
      </c>
      <c r="AM24" s="235">
        <f>AL24*'Immobilie als Kapitalanlage'!$D$52</f>
        <v>3817.17</v>
      </c>
      <c r="AN24" s="235">
        <f t="shared" si="14"/>
        <v>120388.09283931395</v>
      </c>
      <c r="AO24" s="235">
        <f>IF(AND(AN24&gt;Steuern!$D$6,AN24&lt;Steuern!$D$10),INT((Steuern!H19*(AN24-Steuern!$D$8)/10000+Steuern!$I$8)*(AN24-Steuern!$D$6)/10000),IF(AND(AN24&gt;Steuern!$F$8,AN24&lt;Steuern!$D$12),INT((Steuern!$H$10*(AN24-Steuern!$F$8)/10000+Steuern!$I$10)*(AN24-Steuern!$F$8)/10000+Steuern!$J$10),IF(AND(AN24&gt;Steuern!$F$10,AN24&lt;Steuern!$D$14),INT(AN24*Steuern!$H$12-Steuern!$I$12),IF(AN24&gt;Steuern!$F$12,INT(AN24*Steuern!$H$14-Steuern!$I$14),0))))</f>
        <v>40590</v>
      </c>
      <c r="AP24" s="235">
        <f>IF(AND(AN24/2&gt;Steuern!$D$6,AN24/2&lt;Steuern!$D$10),INT((Steuern!$H$8*(AN24/2-Steuern!$D$8)/10000+Steuern!$I$8)*(AN24/2-Steuern!$D$6)/10000),IF(AND(AN24/2&gt;Steuern!$F$8,AN24/2&lt;Steuern!$D$12),INT((Steuern!$H$10*(AN24/2-Steuern!$F$8)/10000+Steuern!$I$10)*(AN24/2-Steuern!$F$8)/10000+Steuern!$J$10),IF(AND(AN24/2&gt;Steuern!$F$10,AN24/2&lt;Steuern!$D$14),INT(AN24/2*Steuern!$H$12-Steuern!$I$12),IF(AN24/2&gt;Steuern!$F$12,INT(AN24/2*Steuern!$H$14-Steuern!$I$14),0))))*2</f>
        <v>30642</v>
      </c>
      <c r="AQ24" s="235">
        <f t="shared" si="15"/>
        <v>119166.75651245903</v>
      </c>
      <c r="AR24" s="235">
        <f>IF(AND(AQ24&gt;Steuern!$D$6,AQ24&lt;Steuern!$D$10),INT((Steuern!$H$8*(AQ24-Steuern!$D$6)/10000+Steuern!$I$8)*(AQ24-Steuern!$D$6)/10000),IF(AND(AQ24&gt;Steuern!$F$8,AQ24&lt;Steuern!$D$12),INT((Steuern!$H$10*(AQ24-Steuern!$F$8)/10000+Steuern!$I$10)*(AQ24-Steuern!$F$8)/10000+Steuern!$J$10),IF(AND(AQ24&gt;Steuern!$F$10,AQ24&lt;Steuern!$D$14),INT(AQ24*Steuern!$H$12-Steuern!$I$12),IF(AQ24&gt;Steuern!$F$12,INT(AQ24*Steuern!$H$14-Steuern!$I$14),0))))</f>
        <v>40077</v>
      </c>
      <c r="AS24" s="235">
        <f t="shared" si="16"/>
        <v>120953.72472242454</v>
      </c>
      <c r="AT24" s="235">
        <f>IF(AND(AS24&gt;Steuern!$D$6,AS24&lt;Steuern!$D$10),INT((Steuern!$H$8*(AS24-Steuern!$D$6)/10000+Steuern!$I$8)*(AS24-Steuern!$D$6)/10000),IF(AND(AS24&gt;Steuern!$F$8,AS24&lt;Steuern!$D$12),INT((Steuern!$H$10*(AS24-Steuern!$F$8)/10000+Steuern!$I$10)*(AS24-Steuern!$F$8)/10000+Steuern!$J$10),IF(AND(AS24&gt;Steuern!$F$10,AS24&lt;Steuern!$D$14),INT(AS24*Steuern!$H$12-Steuern!$I$12),IF(AS24&gt;Steuern!$F$12,INT(AS24*Steuern!$H$14-Steuern!$I$14),0))))</f>
        <v>40827</v>
      </c>
      <c r="AU24" s="235">
        <f t="shared" si="17"/>
        <v>122468.41919368364</v>
      </c>
      <c r="AV24" s="235">
        <f>IF(AND(AU24&gt;Steuern!$D$6,AU24&lt;Steuern!$D$10),INT((Steuern!$H$8*(AU24-Steuern!$D$6)/10000+Steuern!$I$8)*(AU24-Steuern!$D$6)/10000),IF(AND(AU24&gt;Steuern!$F$8,AU24&lt;Steuern!$D$12),INT((Steuern!$H$10*(AU24-Steuern!$F$8)/10000+Steuern!$I$10)*(AU24-Steuern!$F$8)/10000+Steuern!$J$10),IF(AND(AU24&gt;Steuern!$F$10,AU24&lt;Steuern!$D$14),INT(AU24*Steuern!$H$12-Steuern!$I$12),IF(AU24&gt;Steuern!$F$12,INT(AU24*Steuern!$H$14-Steuern!$I$14),0))))</f>
        <v>41463</v>
      </c>
      <c r="AW24" s="235">
        <f>IF(AND(AU24/2&gt;Steuern!$D$6,AU24/2&lt;Steuern!$D$10),INT((Steuern!$H$8*(AU24/2-Steuern!$D$8)/10000+Steuern!$I$8)*(AU24/2-Steuern!$D$6)/10000),IF(AND(AU24/2&gt;Steuern!$F$8,AU24/2&lt;Steuern!$D$12),INT((Steuern!$H$10*(AU24/2-Steuern!$F$8)/10000+Steuern!$I$10)*(AU24/2-Steuern!$F$8)/10000+Steuern!$J$10),IF(AND(AU24/2&gt;Steuern!$F$10,AU24/2&lt;Steuern!$D$14),INT(AU24/2*Steuern!$H$12-Steuern!$I$12),IF(AU24/2&gt;Steuern!$F$12,INT(AU24/2*Steuern!$H$14-Steuern!$I$14),0))))*2</f>
        <v>31500</v>
      </c>
      <c r="AX24" s="235">
        <f t="shared" si="18"/>
        <v>121247.08286682873</v>
      </c>
      <c r="AY24" s="235">
        <f>IF(AND(AX24&gt;Steuern!$D$6,AX24&lt;Steuern!$D$10),INT((Steuern!N19*(AX24-Steuern!$D$8)/10000+Steuern!$I$8)*(AX24-Steuern!$D$6)/10000),IF(AND(AX24&gt;Steuern!$F$8,AX24&lt;Steuern!$D$12),INT((Steuern!$H$10*(AX24-Steuern!$F$8)/10000+Steuern!$I$10)*(AX24-Steuern!$F$8)/10000+Steuern!$J$10),IF(AND(AX24&gt;Steuern!$F$10,AX24&lt;Steuern!$D$14),INT(AX24*Steuern!$H$12-Steuern!$I$12),IF(AX24&gt;Steuern!$F$12,INT(AX24*Steuern!$H$14-Steuern!$I$14),0))))</f>
        <v>40950</v>
      </c>
      <c r="AZ24" s="235">
        <f t="shared" si="19"/>
        <v>123034.05107679423</v>
      </c>
      <c r="BA24" s="235">
        <f>IF(AND(AZ24&gt;Steuern!$D$6,AZ24&lt;Steuern!$D$10),INT((Steuern!P19*(AZ24-Steuern!$D$8)/10000+Steuern!$I$8)*(AZ24-Steuern!$D$6)/10000),IF(AND(AZ24&gt;Steuern!$F$8,AZ24&lt;Steuern!$D$12),INT((Steuern!$H$10*(AZ24-Steuern!$F$8)/10000+Steuern!$I$10)*(AZ24-Steuern!$F$8)/10000+Steuern!$J$10),IF(AND(AZ24&gt;Steuern!$F$10,AZ24&lt;Steuern!$D$14),INT(AZ24*Steuern!$H$12-Steuern!$I$12),IF(AZ24&gt;Steuern!$F$12,INT(AZ24*Steuern!$H$14-Steuern!$I$14),0))))</f>
        <v>41701</v>
      </c>
      <c r="BB24" s="235">
        <f t="shared" ref="BB24:BC24" si="125">AC24-AO24</f>
        <v>-1615</v>
      </c>
      <c r="BC24" s="235">
        <f t="shared" si="125"/>
        <v>-1560</v>
      </c>
      <c r="BD24" s="235">
        <f t="shared" si="21"/>
        <v>-1102</v>
      </c>
      <c r="BE24" s="235">
        <f t="shared" si="22"/>
        <v>-1852</v>
      </c>
      <c r="BF24" s="235">
        <f t="shared" ref="BF24:BG24" si="126">AC24-AV24</f>
        <v>-2488</v>
      </c>
      <c r="BG24" s="235">
        <f t="shared" si="126"/>
        <v>-2418</v>
      </c>
      <c r="BH24" s="235">
        <f t="shared" si="24"/>
        <v>-1975</v>
      </c>
      <c r="BI24" s="235">
        <f t="shared" si="25"/>
        <v>-2726</v>
      </c>
      <c r="BJ24" s="241">
        <f t="shared" si="26"/>
        <v>-2219.376993941969</v>
      </c>
      <c r="BK24" s="241">
        <f t="shared" si="27"/>
        <v>-2164.376993941969</v>
      </c>
      <c r="BL24" s="241">
        <f t="shared" si="28"/>
        <v>-1517.7748603851142</v>
      </c>
      <c r="BM24" s="241">
        <f t="shared" si="29"/>
        <v>-533.73533340064387</v>
      </c>
      <c r="BN24" s="241">
        <f t="shared" si="30"/>
        <v>-2219.376993941969</v>
      </c>
      <c r="BO24" s="241">
        <f t="shared" si="31"/>
        <v>-73009.226691040269</v>
      </c>
      <c r="BP24" s="241">
        <f t="shared" si="32"/>
        <v>-2164.376993941969</v>
      </c>
      <c r="BQ24" s="241">
        <f t="shared" si="33"/>
        <v>-74362.226691040269</v>
      </c>
      <c r="BR24" s="241">
        <f t="shared" si="34"/>
        <v>-1517.7748603851142</v>
      </c>
      <c r="BS24" s="241">
        <f t="shared" si="35"/>
        <v>-66386.205355471757</v>
      </c>
      <c r="BT24" s="241">
        <f t="shared" si="36"/>
        <v>-533.73533340064387</v>
      </c>
      <c r="BU24" s="241">
        <f t="shared" si="37"/>
        <v>-64889.018388333658</v>
      </c>
      <c r="BV24" s="241">
        <f t="shared" si="38"/>
        <v>-1012.050639572275</v>
      </c>
      <c r="BW24" s="241">
        <f t="shared" si="39"/>
        <v>-942.05063957227503</v>
      </c>
      <c r="BX24" s="241">
        <f t="shared" si="40"/>
        <v>-310.44850601542021</v>
      </c>
      <c r="BY24" s="241">
        <f t="shared" si="41"/>
        <v>672.59102096905008</v>
      </c>
      <c r="BZ24" s="241">
        <f t="shared" si="42"/>
        <v>-1012.050639572275</v>
      </c>
      <c r="CA24" s="241">
        <f t="shared" si="43"/>
        <v>-52886.582618185814</v>
      </c>
      <c r="CB24" s="241">
        <f t="shared" si="44"/>
        <v>-942.05063957227503</v>
      </c>
      <c r="CC24" s="241">
        <f t="shared" si="45"/>
        <v>-52483.582618185814</v>
      </c>
      <c r="CD24" s="241">
        <f t="shared" si="46"/>
        <v>-310.44850601542021</v>
      </c>
      <c r="CE24" s="241">
        <f t="shared" si="47"/>
        <v>-46260.561282617295</v>
      </c>
      <c r="CF24" s="241">
        <f t="shared" si="48"/>
        <v>672.59102096905008</v>
      </c>
      <c r="CG24" s="241">
        <f t="shared" si="49"/>
        <v>-44763.374315479203</v>
      </c>
      <c r="CH24" s="254"/>
      <c r="CI24" s="242">
        <f t="shared" ca="1" si="64"/>
        <v>52841</v>
      </c>
      <c r="CJ24" s="241">
        <f t="shared" si="50"/>
        <v>-2219.376993941969</v>
      </c>
      <c r="CK24" s="251"/>
      <c r="CL24" s="241">
        <f t="shared" si="52"/>
        <v>-2219.376993941969</v>
      </c>
      <c r="CM24" s="241">
        <f t="shared" si="53"/>
        <v>-2219.376993941969</v>
      </c>
      <c r="CN24" s="241">
        <f t="shared" si="54"/>
        <v>-2219.376993941969</v>
      </c>
      <c r="CO24" s="133"/>
      <c r="CP24" s="235"/>
      <c r="CQ24" s="235"/>
      <c r="CR24" s="235"/>
      <c r="CS24" s="133"/>
      <c r="CT24" s="235"/>
      <c r="CU24" s="235"/>
      <c r="CV24" s="235"/>
      <c r="CW24" s="133"/>
      <c r="CX24" s="235"/>
      <c r="CY24" s="235"/>
      <c r="CZ24" s="235"/>
      <c r="DA24" s="241">
        <f t="shared" si="55"/>
        <v>-1012.050639572275</v>
      </c>
      <c r="DB24" s="133"/>
      <c r="DC24" s="241">
        <f t="shared" si="57"/>
        <v>-1012.050639572275</v>
      </c>
      <c r="DD24" s="241">
        <f t="shared" si="58"/>
        <v>-1012.050639572275</v>
      </c>
      <c r="DE24" s="241">
        <f t="shared" si="59"/>
        <v>-1012.050639572275</v>
      </c>
      <c r="DF24" s="133"/>
      <c r="DG24" s="235"/>
      <c r="DH24" s="235"/>
      <c r="DI24" s="235"/>
      <c r="DJ24" s="133"/>
      <c r="DK24" s="235"/>
      <c r="DL24" s="235"/>
      <c r="DM24" s="235"/>
      <c r="DN24" s="133"/>
      <c r="DO24" s="235"/>
      <c r="DP24" s="235"/>
      <c r="DQ24" s="235"/>
      <c r="DR24" s="235"/>
      <c r="DS24" s="241">
        <f t="shared" si="3"/>
        <v>-1012.050639572275</v>
      </c>
    </row>
    <row r="25" spans="1:123" ht="15.75" customHeight="1">
      <c r="A25" s="243">
        <v>21</v>
      </c>
      <c r="B25" s="244">
        <f>B24*(1+'Immobilie als Kapitalanlage'!$D$47)</f>
        <v>306865.59314651409</v>
      </c>
      <c r="C25" s="241">
        <f>$C$4*(1+'Immobilie als Kapitalanlage'!$D$47)^A25</f>
        <v>0</v>
      </c>
      <c r="D25" s="244">
        <f t="shared" si="69"/>
        <v>306865.59314651409</v>
      </c>
      <c r="E25" s="138"/>
      <c r="F25" s="245">
        <f>MAX(-FV('Immobilie als Kapitalanlage'!$D$26/12,A25*12,(-I25/12),'Immobilie als Kapitalanlage'!$C$25,0),0)</f>
        <v>133401.52093512978</v>
      </c>
      <c r="G25" s="245">
        <f>IF(I25-H25&gt;G24,F24*'Immobilie als Kapitalanlage'!$D$26,I25-H25)</f>
        <v>4814.5809460266028</v>
      </c>
      <c r="H25" s="241">
        <f t="shared" si="4"/>
        <v>7635.4190539733972</v>
      </c>
      <c r="I25" s="241">
        <f>$F$4*('Immobilie als Kapitalanlage'!$D$26+'Immobilie als Kapitalanlage'!$D$36)</f>
        <v>12450</v>
      </c>
      <c r="J25" s="245">
        <f>MAX((-FV('Immobilie als Kapitalanlage'!$C$85/12,(A25-$A$14)*12,(-M25/12),$J$14,0)),0)</f>
        <v>147997.98370307416</v>
      </c>
      <c r="K25" s="241">
        <f t="shared" si="98"/>
        <v>6055.2071703304227</v>
      </c>
      <c r="L25" s="241">
        <f t="shared" si="99"/>
        <v>6206.1906961127243</v>
      </c>
      <c r="M25" s="241">
        <f>$J$14*('Immobilie als Kapitalanlage'!$C$85+'Immobilie als Kapitalanlage'!$C$86)</f>
        <v>12261.397866443147</v>
      </c>
      <c r="N25" s="245">
        <f>MAX((-FV('Immobilie als Kapitalanlage'!$C$88/12,(A25-$A$19)*12,(-Q25/12),$N$19,0)),0)</f>
        <v>140900.1874555148</v>
      </c>
      <c r="O25" s="245">
        <f t="shared" si="115"/>
        <v>4328.2030223680504</v>
      </c>
      <c r="P25" s="241">
        <f t="shared" si="116"/>
        <v>6199.1553170906263</v>
      </c>
      <c r="Q25" s="241">
        <f>$N$19*('Immobilie als Kapitalanlage'!$C$88+'Immobilie als Kapitalanlage'!$C$89)</f>
        <v>10527.358339458677</v>
      </c>
      <c r="R25" s="250">
        <f t="shared" si="6"/>
        <v>-2164.7281664612665</v>
      </c>
      <c r="S25" s="250">
        <f>'Immobilie als Kapitalanlage'!$C$27*12*(1+'Immobilie als Kapitalanlage'!$D$44)^A24</f>
        <v>-363.75992253550112</v>
      </c>
      <c r="T25" s="250">
        <f>'Immobilie als Kapitalanlage'!$C$29*12*(1+'Immobilie als Kapitalanlage'!$D$44)^A24</f>
        <v>-1266.0271813735578</v>
      </c>
      <c r="U25" s="250">
        <f>'Immobilie als Kapitalanlage'!$C$30*12*(1+'Immobilie als Kapitalanlage'!$D$44)^A24</f>
        <v>-534.94106255220754</v>
      </c>
      <c r="V25" s="250">
        <f>'Immobilie als Kapitalanlage'!$C$28*12*(1+'Immobilie als Kapitalanlage'!$D$44)^A24</f>
        <v>-909.3998063387528</v>
      </c>
      <c r="W25" s="241">
        <f>$W$5*(1+'Immobilie als Kapitalanlage'!$D$43)^A24</f>
        <v>15156.663438979213</v>
      </c>
      <c r="X25" s="241">
        <f>$X$5*(1+'Immobilie als Kapitalanlage'!$D$43)^A24</f>
        <v>17278.5963204363</v>
      </c>
      <c r="Y25" s="241">
        <f>-'Immobilie als Kapitalanlage'!$C$25*'Immobilie als Kapitalanlage'!$D$99</f>
        <v>0</v>
      </c>
      <c r="Z25" s="241">
        <f t="shared" si="7"/>
        <v>0</v>
      </c>
      <c r="AA25" s="241">
        <f>FV((((1+'Immobilie als Kapitalanlage'!$D$80)^(1/12)-1)),A25*12,Y25/12,-'Immobilie als Kapitalanlage'!$G$95,)</f>
        <v>0</v>
      </c>
      <c r="AB25" s="241">
        <f>$AB$5*(1+'Immobilie als Kapitalanlage'!$D$51)^A24</f>
        <v>118875.79167826835</v>
      </c>
      <c r="AC25" s="241">
        <f>IF(AND(AB25&gt;Steuern!$D$6,AB25&lt;Steuern!$D$10),INT((Steuern!$H$8*(AB25-Steuern!$D$6)/10000+Steuern!$I$8)*(AB25-Steuern!$D$6)/10000),IF(AND(AB25&gt;Steuern!$F$8,AB25&lt;Steuern!$D$12),INT((Steuern!$H$10*(AB25-Steuern!$F$8)/10000+Steuern!$I$10)*(AB25-Steuern!$F$8)/10000+Steuern!$J$10),IF(AND(AB25&gt;Steuern!$F$10,AB25&lt;Steuern!$D$14),INT(AB25*Steuern!$H$12-Steuern!$I$12),IF(AB25&gt;Steuern!$F$12,INT(AB25*Steuern!$H$14-Steuern!$I$14),0))))</f>
        <v>39954</v>
      </c>
      <c r="AD25" s="241">
        <f>IF(AND(AB25/2&gt;Steuern!$D$6,AB25/2&lt;Steuern!$D$10),INT((Steuern!$H$8*(AB25/2-Steuern!$D$8)/10000+Steuern!$I$8)*(AB25/2-Steuern!$D$6)/10000),IF(AND(AB25/2&gt;Steuern!$F$8,AB25/2&lt;Steuern!$D$12),INT((Steuern!$H$10*(AB25/2-Steuern!$F$8)/10000+Steuern!$I$10)*(AB25/2-Steuern!$F$8)/10000+Steuern!$J$10),IF(AND(AB25/2&gt;Steuern!$F$10,AB25/2&lt;Steuern!$D$14),INT(AB25/2*Steuern!$H$12-Steuern!$I$12),IF(AB25/2&gt;Steuern!$F$12,INT(AB25/2*Steuern!$H$14-Steuern!$I$14),0))))*2</f>
        <v>30024</v>
      </c>
      <c r="AE25" s="241">
        <f t="shared" si="8"/>
        <v>8177.3543264913433</v>
      </c>
      <c r="AF25" s="241">
        <f t="shared" si="9"/>
        <v>6936.7281021875242</v>
      </c>
      <c r="AG25" s="241">
        <f t="shared" si="10"/>
        <v>8663.7322501498966</v>
      </c>
      <c r="AH25" s="241">
        <f t="shared" si="11"/>
        <v>10299.28720794843</v>
      </c>
      <c r="AI25" s="241">
        <f t="shared" si="12"/>
        <v>9058.6609836446114</v>
      </c>
      <c r="AJ25" s="241">
        <f t="shared" si="13"/>
        <v>10785.665131606984</v>
      </c>
      <c r="AK25" s="248"/>
      <c r="AL25" s="241">
        <f>('Immobilie als Kapitalanlage'!$C$16+'Immobilie als Kapitalanlage'!$C$20+'Immobilie als Kapitalanlage'!$C$15)*(1-'Immobilie als Kapitalanlage'!$D$53)</f>
        <v>190858.5</v>
      </c>
      <c r="AM25" s="241">
        <f>AL25*'Immobilie als Kapitalanlage'!$D$52</f>
        <v>3817.17</v>
      </c>
      <c r="AN25" s="241">
        <f t="shared" si="14"/>
        <v>123235.97600475969</v>
      </c>
      <c r="AO25" s="241">
        <f>IF(AND(AN25&gt;Steuern!$D$6,AN25&lt;Steuern!$D$10),INT((Steuern!H20*(AN25-Steuern!$D$8)/10000+Steuern!$I$8)*(AN25-Steuern!$D$6)/10000),IF(AND(AN25&gt;Steuern!$F$8,AN25&lt;Steuern!$D$12),INT((Steuern!$H$10*(AN25-Steuern!$F$8)/10000+Steuern!$I$10)*(AN25-Steuern!$F$8)/10000+Steuern!$J$10),IF(AND(AN25&gt;Steuern!$F$10,AN25&lt;Steuern!$D$14),INT(AN25*Steuern!$H$12-Steuern!$I$12),IF(AN25&gt;Steuern!$F$12,INT(AN25*Steuern!$H$14-Steuern!$I$14),0))))</f>
        <v>41786</v>
      </c>
      <c r="AP25" s="241">
        <f>IF(AND(AN25/2&gt;Steuern!$D$6,AN25/2&lt;Steuern!$D$10),INT((Steuern!$H$8*(AN25/2-Steuern!$D$8)/10000+Steuern!$I$8)*(AN25/2-Steuern!$D$6)/10000),IF(AND(AN25/2&gt;Steuern!$F$8,AN25/2&lt;Steuern!$D$12),INT((Steuern!$H$10*(AN25/2-Steuern!$F$8)/10000+Steuern!$I$10)*(AN25/2-Steuern!$F$8)/10000+Steuern!$J$10),IF(AND(AN25/2&gt;Steuern!$F$10,AN25/2&lt;Steuern!$D$14),INT(AN25/2*Steuern!$H$12-Steuern!$I$12),IF(AN25/2&gt;Steuern!$F$12,INT(AN25/2*Steuern!$H$14-Steuern!$I$14),0))))*2</f>
        <v>31818</v>
      </c>
      <c r="AQ25" s="241">
        <f t="shared" si="15"/>
        <v>121995.34978045587</v>
      </c>
      <c r="AR25" s="241">
        <f>IF(AND(AQ25&gt;Steuern!$D$6,AQ25&lt;Steuern!$D$10),INT((Steuern!$H$8*(AQ25-Steuern!$D$6)/10000+Steuern!$I$8)*(AQ25-Steuern!$D$6)/10000),IF(AND(AQ25&gt;Steuern!$F$8,AQ25&lt;Steuern!$D$12),INT((Steuern!$H$10*(AQ25-Steuern!$F$8)/10000+Steuern!$I$10)*(AQ25-Steuern!$F$8)/10000+Steuern!$J$10),IF(AND(AQ25&gt;Steuern!$F$10,AQ25&lt;Steuern!$D$14),INT(AQ25*Steuern!$H$12-Steuern!$I$12),IF(AQ25&gt;Steuern!$F$12,INT(AQ25*Steuern!$H$14-Steuern!$I$14),0))))</f>
        <v>41265</v>
      </c>
      <c r="AS25" s="241">
        <f t="shared" si="16"/>
        <v>123722.35392841825</v>
      </c>
      <c r="AT25" s="241">
        <f>IF(AND(AS25&gt;Steuern!$D$6,AS25&lt;Steuern!$D$10),INT((Steuern!$H$8*(AS25-Steuern!$D$6)/10000+Steuern!$I$8)*(AS25-Steuern!$D$6)/10000),IF(AND(AS25&gt;Steuern!$F$8,AS25&lt;Steuern!$D$12),INT((Steuern!$H$10*(AS25-Steuern!$F$8)/10000+Steuern!$I$10)*(AS25-Steuern!$F$8)/10000+Steuern!$J$10),IF(AND(AS25&gt;Steuern!$F$10,AS25&lt;Steuern!$D$14),INT(AS25*Steuern!$H$12-Steuern!$I$12),IF(AS25&gt;Steuern!$F$12,INT(AS25*Steuern!$H$14-Steuern!$I$14),0))))</f>
        <v>41990</v>
      </c>
      <c r="AU25" s="241">
        <f t="shared" si="17"/>
        <v>125357.90888621677</v>
      </c>
      <c r="AV25" s="241">
        <f>IF(AND(AU25&gt;Steuern!$D$6,AU25&lt;Steuern!$D$10),INT((Steuern!$H$8*(AU25-Steuern!$D$6)/10000+Steuern!$I$8)*(AU25-Steuern!$D$6)/10000),IF(AND(AU25&gt;Steuern!$F$8,AU25&lt;Steuern!$D$12),INT((Steuern!$H$10*(AU25-Steuern!$F$8)/10000+Steuern!$I$10)*(AU25-Steuern!$F$8)/10000+Steuern!$J$10),IF(AND(AU25&gt;Steuern!$F$10,AU25&lt;Steuern!$D$14),INT(AU25*Steuern!$H$12-Steuern!$I$12),IF(AU25&gt;Steuern!$F$12,INT(AU25*Steuern!$H$14-Steuern!$I$14),0))))</f>
        <v>42677</v>
      </c>
      <c r="AW25" s="241">
        <f>IF(AND(AU25/2&gt;Steuern!$D$6,AU25/2&lt;Steuern!$D$10),INT((Steuern!$H$8*(AU25/2-Steuern!$D$8)/10000+Steuern!$I$8)*(AU25/2-Steuern!$D$6)/10000),IF(AND(AU25/2&gt;Steuern!$F$8,AU25/2&lt;Steuern!$D$12),INT((Steuern!$H$10*(AU25/2-Steuern!$F$8)/10000+Steuern!$I$10)*(AU25/2-Steuern!$F$8)/10000+Steuern!$J$10),IF(AND(AU25/2&gt;Steuern!$F$10,AU25/2&lt;Steuern!$D$14),INT(AU25/2*Steuern!$H$12-Steuern!$I$12),IF(AU25/2&gt;Steuern!$F$12,INT(AU25/2*Steuern!$H$14-Steuern!$I$14),0))))*2</f>
        <v>32704</v>
      </c>
      <c r="AX25" s="241">
        <f t="shared" si="18"/>
        <v>124117.28266191296</v>
      </c>
      <c r="AY25" s="241">
        <f>IF(AND(AX25&gt;Steuern!$D$6,AX25&lt;Steuern!$D$10),INT((Steuern!N20*(AX25-Steuern!$D$8)/10000+Steuern!$I$8)*(AX25-Steuern!$D$6)/10000),IF(AND(AX25&gt;Steuern!$F$8,AX25&lt;Steuern!$D$12),INT((Steuern!$H$10*(AX25-Steuern!$F$8)/10000+Steuern!$I$10)*(AX25-Steuern!$F$8)/10000+Steuern!$J$10),IF(AND(AX25&gt;Steuern!$F$10,AX25&lt;Steuern!$D$14),INT(AX25*Steuern!$H$12-Steuern!$I$12),IF(AX25&gt;Steuern!$F$12,INT(AX25*Steuern!$H$14-Steuern!$I$14),0))))</f>
        <v>42156</v>
      </c>
      <c r="AZ25" s="241">
        <f t="shared" si="19"/>
        <v>125844.28680987532</v>
      </c>
      <c r="BA25" s="241">
        <f>IF(AND(AZ25&gt;Steuern!$D$6,AZ25&lt;Steuern!$D$10),INT((Steuern!P20*(AZ25-Steuern!$D$8)/10000+Steuern!$I$8)*(AZ25-Steuern!$D$6)/10000),IF(AND(AZ25&gt;Steuern!$F$8,AZ25&lt;Steuern!$D$12),INT((Steuern!$H$10*(AZ25-Steuern!$F$8)/10000+Steuern!$I$10)*(AZ25-Steuern!$F$8)/10000+Steuern!$J$10),IF(AND(AZ25&gt;Steuern!$F$10,AZ25&lt;Steuern!$D$14),INT(AZ25*Steuern!$H$12-Steuern!$I$12),IF(AZ25&gt;Steuern!$F$12,INT(AZ25*Steuern!$H$14-Steuern!$I$14),0))))</f>
        <v>42881</v>
      </c>
      <c r="BB25" s="241">
        <f t="shared" ref="BB25:BC25" si="127">AC25-AO25</f>
        <v>-1832</v>
      </c>
      <c r="BC25" s="241">
        <f t="shared" si="127"/>
        <v>-1794</v>
      </c>
      <c r="BD25" s="241">
        <f t="shared" si="21"/>
        <v>-1311</v>
      </c>
      <c r="BE25" s="241">
        <f t="shared" si="22"/>
        <v>-2036</v>
      </c>
      <c r="BF25" s="241">
        <f t="shared" ref="BF25:BG25" si="128">AC25-AV25</f>
        <v>-2723</v>
      </c>
      <c r="BG25" s="241">
        <f t="shared" si="128"/>
        <v>-2680</v>
      </c>
      <c r="BH25" s="241">
        <f t="shared" si="24"/>
        <v>-2202</v>
      </c>
      <c r="BI25" s="241">
        <f t="shared" si="25"/>
        <v>-2927</v>
      </c>
      <c r="BJ25" s="241">
        <f t="shared" si="26"/>
        <v>-2199.4645338208084</v>
      </c>
      <c r="BK25" s="241">
        <f t="shared" si="27"/>
        <v>-2161.4645338208084</v>
      </c>
      <c r="BL25" s="241">
        <f t="shared" si="28"/>
        <v>-1489.8624002639535</v>
      </c>
      <c r="BM25" s="241">
        <f t="shared" si="29"/>
        <v>-480.82287327948325</v>
      </c>
      <c r="BN25" s="241">
        <f t="shared" si="30"/>
        <v>-2199.4645338208084</v>
      </c>
      <c r="BO25" s="241">
        <f t="shared" si="31"/>
        <v>-75208.691224861075</v>
      </c>
      <c r="BP25" s="241">
        <f t="shared" si="32"/>
        <v>-2161.4645338208084</v>
      </c>
      <c r="BQ25" s="241">
        <f t="shared" si="33"/>
        <v>-76523.691224861075</v>
      </c>
      <c r="BR25" s="241">
        <f t="shared" si="34"/>
        <v>-1489.8624002639535</v>
      </c>
      <c r="BS25" s="241">
        <f t="shared" si="35"/>
        <v>-67876.067755735712</v>
      </c>
      <c r="BT25" s="241">
        <f t="shared" si="36"/>
        <v>-480.82287327948325</v>
      </c>
      <c r="BU25" s="241">
        <f t="shared" si="37"/>
        <v>-65369.841261613139</v>
      </c>
      <c r="BV25" s="241">
        <f t="shared" si="38"/>
        <v>-968.53165236372115</v>
      </c>
      <c r="BW25" s="241">
        <f t="shared" si="39"/>
        <v>-925.53165236372115</v>
      </c>
      <c r="BX25" s="241">
        <f t="shared" si="40"/>
        <v>-258.92951880686633</v>
      </c>
      <c r="BY25" s="241">
        <f t="shared" si="41"/>
        <v>750.11000817760396</v>
      </c>
      <c r="BZ25" s="241">
        <f t="shared" si="42"/>
        <v>-968.53165236372115</v>
      </c>
      <c r="CA25" s="241">
        <f t="shared" si="43"/>
        <v>-53855.114270549537</v>
      </c>
      <c r="CB25" s="241">
        <f t="shared" si="44"/>
        <v>-925.53165236372115</v>
      </c>
      <c r="CC25" s="241">
        <f t="shared" si="45"/>
        <v>-53409.114270549537</v>
      </c>
      <c r="CD25" s="241">
        <f t="shared" si="46"/>
        <v>-258.92951880686633</v>
      </c>
      <c r="CE25" s="241">
        <f t="shared" si="47"/>
        <v>-46519.490801424159</v>
      </c>
      <c r="CF25" s="241">
        <f t="shared" si="48"/>
        <v>750.11000817760396</v>
      </c>
      <c r="CG25" s="241">
        <f t="shared" si="49"/>
        <v>-44013.264307301601</v>
      </c>
      <c r="CH25" s="248"/>
      <c r="CI25" s="249">
        <f t="shared" ca="1" si="64"/>
        <v>53206</v>
      </c>
      <c r="CJ25" s="241">
        <f t="shared" si="50"/>
        <v>-2199.4645338208084</v>
      </c>
      <c r="CK25" s="138"/>
      <c r="CL25" s="241">
        <v>0</v>
      </c>
      <c r="CM25" s="241">
        <f t="shared" si="53"/>
        <v>-2199.4645338208084</v>
      </c>
      <c r="CN25" s="241">
        <f t="shared" si="54"/>
        <v>-2199.4645338208084</v>
      </c>
      <c r="CO25" s="248"/>
      <c r="CP25" s="241"/>
      <c r="CQ25" s="241"/>
      <c r="CR25" s="241"/>
      <c r="CS25" s="248"/>
      <c r="CT25" s="241"/>
      <c r="CU25" s="241"/>
      <c r="CV25" s="241"/>
      <c r="CW25" s="248"/>
      <c r="CX25" s="241"/>
      <c r="CY25" s="241"/>
      <c r="CZ25" s="241"/>
      <c r="DA25" s="241">
        <f t="shared" si="55"/>
        <v>-968.53165236372115</v>
      </c>
      <c r="DB25" s="248"/>
      <c r="DC25" s="241">
        <v>0</v>
      </c>
      <c r="DD25" s="241">
        <f t="shared" si="58"/>
        <v>-968.53165236372115</v>
      </c>
      <c r="DE25" s="241">
        <f t="shared" si="59"/>
        <v>-968.53165236372115</v>
      </c>
      <c r="DF25" s="248"/>
      <c r="DG25" s="241"/>
      <c r="DH25" s="241"/>
      <c r="DI25" s="241"/>
      <c r="DJ25" s="248"/>
      <c r="DK25" s="241"/>
      <c r="DL25" s="241"/>
      <c r="DM25" s="241"/>
      <c r="DN25" s="248"/>
      <c r="DO25" s="241"/>
      <c r="DP25" s="241"/>
      <c r="DQ25" s="241"/>
      <c r="DR25" s="241"/>
      <c r="DS25" s="241">
        <f t="shared" si="3"/>
        <v>-968.53165236372115</v>
      </c>
    </row>
    <row r="26" spans="1:123" ht="15.75" customHeight="1">
      <c r="A26" s="243">
        <v>22</v>
      </c>
      <c r="B26" s="244">
        <f>B25*(1+'Immobilie als Kapitalanlage'!$D$47)</f>
        <v>309934.24907797924</v>
      </c>
      <c r="C26" s="241">
        <f>$C$4*(1+'Immobilie als Kapitalanlage'!$D$47)^A26</f>
        <v>0</v>
      </c>
      <c r="D26" s="244">
        <f t="shared" si="69"/>
        <v>309934.24907797924</v>
      </c>
      <c r="E26" s="138"/>
      <c r="F26" s="245">
        <f>MAX(-FV('Immobilie als Kapitalanlage'!$D$26/12,A26*12,(-I26/12),'Immobilie als Kapitalanlage'!$C$25,0),0)</f>
        <v>125494.53329094098</v>
      </c>
      <c r="G26" s="245">
        <f>IF(I26-H26&gt;G25,F25*'Immobilie als Kapitalanlage'!$D$26,I26-H26)</f>
        <v>4543.0123558111954</v>
      </c>
      <c r="H26" s="241">
        <f t="shared" si="4"/>
        <v>7906.9876441888046</v>
      </c>
      <c r="I26" s="241">
        <f>$F$4*('Immobilie als Kapitalanlage'!$D$26+'Immobilie als Kapitalanlage'!$D$36)</f>
        <v>12450</v>
      </c>
      <c r="J26" s="245">
        <f>MAX((-FV('Immobilie als Kapitalanlage'!$C$85/12,(A26-$A$14)*12,(-M26/12),$J$14,0)),0)</f>
        <v>141538.94322234733</v>
      </c>
      <c r="K26" s="241">
        <f t="shared" si="98"/>
        <v>5802.3573857163119</v>
      </c>
      <c r="L26" s="241">
        <f t="shared" si="99"/>
        <v>6459.0404807268351</v>
      </c>
      <c r="M26" s="241">
        <f>$J$14*('Immobilie als Kapitalanlage'!$C$85+'Immobilie als Kapitalanlage'!$C$86)</f>
        <v>12261.397866443147</v>
      </c>
      <c r="N26" s="245">
        <f>MAX((-FV('Immobilie als Kapitalanlage'!$C$88/12,(A26-$A$19)*12,(-Q26/12),$N$19,0)),0)</f>
        <v>134512.47889739936</v>
      </c>
      <c r="O26" s="245">
        <f t="shared" si="115"/>
        <v>4139.6497813432379</v>
      </c>
      <c r="P26" s="241">
        <f t="shared" si="116"/>
        <v>6387.7085581154388</v>
      </c>
      <c r="Q26" s="241">
        <f>$N$19*('Immobilie als Kapitalanlage'!$C$88+'Immobilie als Kapitalanlage'!$C$89)</f>
        <v>10527.358339458677</v>
      </c>
      <c r="R26" s="250">
        <f t="shared" si="6"/>
        <v>-2208.0227297904917</v>
      </c>
      <c r="S26" s="250">
        <f>'Immobilie als Kapitalanlage'!$C$27*12*(1+'Immobilie als Kapitalanlage'!$D$44)^A25</f>
        <v>-371.0351209862111</v>
      </c>
      <c r="T26" s="250">
        <f>'Immobilie als Kapitalanlage'!$C$29*12*(1+'Immobilie als Kapitalanlage'!$D$44)^A25</f>
        <v>-1291.3477250010289</v>
      </c>
      <c r="U26" s="250">
        <f>'Immobilie als Kapitalanlage'!$C$30*12*(1+'Immobilie als Kapitalanlage'!$D$44)^A25</f>
        <v>-545.63988380325168</v>
      </c>
      <c r="V26" s="250">
        <f>'Immobilie als Kapitalanlage'!$C$28*12*(1+'Immobilie als Kapitalanlage'!$D$44)^A25</f>
        <v>-927.58780246552783</v>
      </c>
      <c r="W26" s="241">
        <f>$W$5*(1+'Immobilie als Kapitalanlage'!$D$43)^A25</f>
        <v>15459.796707758796</v>
      </c>
      <c r="X26" s="241">
        <f>$X$5*(1+'Immobilie als Kapitalanlage'!$D$43)^A25</f>
        <v>17624.168246845024</v>
      </c>
      <c r="Y26" s="241">
        <f>-'Immobilie als Kapitalanlage'!$C$25*'Immobilie als Kapitalanlage'!$D$99</f>
        <v>0</v>
      </c>
      <c r="Z26" s="241">
        <f t="shared" si="7"/>
        <v>0</v>
      </c>
      <c r="AA26" s="241">
        <f>FV((((1+'Immobilie als Kapitalanlage'!$D$80)^(1/12)-1)),A26*12,Y26/12,-'Immobilie als Kapitalanlage'!$G$95,)</f>
        <v>0</v>
      </c>
      <c r="AB26" s="241">
        <f>$AB$5*(1+'Immobilie als Kapitalanlage'!$D$51)^A25</f>
        <v>121253.3075118337</v>
      </c>
      <c r="AC26" s="241">
        <f>IF(AND(AB26&gt;Steuern!$D$6,AB26&lt;Steuern!$D$10),INT((Steuern!$H$8*(AB26-Steuern!$D$6)/10000+Steuern!$I$8)*(AB26-Steuern!$D$6)/10000),IF(AND(AB26&gt;Steuern!$F$8,AB26&lt;Steuern!$D$12),INT((Steuern!$H$10*(AB26-Steuern!$F$8)/10000+Steuern!$I$10)*(AB26-Steuern!$F$8)/10000+Steuern!$J$10),IF(AND(AB26&gt;Steuern!$F$10,AB26&lt;Steuern!$D$14),INT(AB26*Steuern!$H$12-Steuern!$I$12),IF(AB26&gt;Steuern!$F$12,INT(AB26*Steuern!$H$14-Steuern!$I$14),0))))</f>
        <v>40953</v>
      </c>
      <c r="AD26" s="241">
        <f>IF(AND(AB26/2&gt;Steuern!$D$6,AB26/2&lt;Steuern!$D$10),INT((Steuern!$H$8*(AB26/2-Steuern!$D$8)/10000+Steuern!$I$8)*(AB26/2-Steuern!$D$6)/10000),IF(AND(AB26/2&gt;Steuern!$F$8,AB26/2&lt;Steuern!$D$12),INT((Steuern!$H$10*(AB26/2-Steuern!$F$8)/10000+Steuern!$I$10)*(AB26/2-Steuern!$F$8)/10000+Steuern!$J$10),IF(AND(AB26/2&gt;Steuern!$F$10,AB26/2&lt;Steuern!$D$14),INT(AB26/2*Steuern!$H$12-Steuern!$I$12),IF(AB26/2&gt;Steuern!$F$12,INT(AB26/2*Steuern!$H$14-Steuern!$I$14),0))))*2</f>
        <v>30998</v>
      </c>
      <c r="AE26" s="241">
        <f t="shared" si="8"/>
        <v>8708.7616221571097</v>
      </c>
      <c r="AF26" s="241">
        <f t="shared" si="9"/>
        <v>7449.4165922519933</v>
      </c>
      <c r="AG26" s="241">
        <f t="shared" si="10"/>
        <v>9112.1241966250673</v>
      </c>
      <c r="AH26" s="241">
        <f t="shared" si="11"/>
        <v>10873.133161243337</v>
      </c>
      <c r="AI26" s="241">
        <f t="shared" si="12"/>
        <v>9613.7881313382204</v>
      </c>
      <c r="AJ26" s="241">
        <f t="shared" si="13"/>
        <v>11276.495735711294</v>
      </c>
      <c r="AK26" s="248"/>
      <c r="AL26" s="241">
        <f>('Immobilie als Kapitalanlage'!$C$16+'Immobilie als Kapitalanlage'!$C$20+'Immobilie als Kapitalanlage'!$C$15)*(1-'Immobilie als Kapitalanlage'!$D$53)</f>
        <v>190858.5</v>
      </c>
      <c r="AM26" s="241">
        <f>AL26*'Immobilie als Kapitalanlage'!$D$52</f>
        <v>3817.17</v>
      </c>
      <c r="AN26" s="241">
        <f t="shared" si="14"/>
        <v>126144.89913399081</v>
      </c>
      <c r="AO26" s="241">
        <f>IF(AND(AN26&gt;Steuern!$D$6,AN26&lt;Steuern!$D$10),INT((Steuern!H21*(AN26-Steuern!$D$8)/10000+Steuern!$I$8)*(AN26-Steuern!$D$6)/10000),IF(AND(AN26&gt;Steuern!$F$8,AN26&lt;Steuern!$D$12),INT((Steuern!$H$10*(AN26-Steuern!$F$8)/10000+Steuern!$I$10)*(AN26-Steuern!$F$8)/10000+Steuern!$J$10),IF(AND(AN26&gt;Steuern!$F$10,AN26&lt;Steuern!$D$14),INT(AN26*Steuern!$H$12-Steuern!$I$12),IF(AN26&gt;Steuern!$F$12,INT(AN26*Steuern!$H$14-Steuern!$I$14),0))))</f>
        <v>43007</v>
      </c>
      <c r="AP26" s="241">
        <f>IF(AND(AN26/2&gt;Steuern!$D$6,AN26/2&lt;Steuern!$D$10),INT((Steuern!$H$8*(AN26/2-Steuern!$D$8)/10000+Steuern!$I$8)*(AN26/2-Steuern!$D$6)/10000),IF(AND(AN26/2&gt;Steuern!$F$8,AN26/2&lt;Steuern!$D$12),INT((Steuern!$H$10*(AN26/2-Steuern!$F$8)/10000+Steuern!$I$10)*(AN26/2-Steuern!$F$8)/10000+Steuern!$J$10),IF(AND(AN26/2&gt;Steuern!$F$10,AN26/2&lt;Steuern!$D$14),INT(AN26/2*Steuern!$H$12-Steuern!$I$12),IF(AN26/2&gt;Steuern!$F$12,INT(AN26/2*Steuern!$H$14-Steuern!$I$14),0))))*2</f>
        <v>33034</v>
      </c>
      <c r="AQ26" s="241">
        <f t="shared" si="15"/>
        <v>124885.55410408569</v>
      </c>
      <c r="AR26" s="241">
        <f>IF(AND(AQ26&gt;Steuern!$D$6,AQ26&lt;Steuern!$D$10),INT((Steuern!$H$8*(AQ26-Steuern!$D$6)/10000+Steuern!$I$8)*(AQ26-Steuern!$D$6)/10000),IF(AND(AQ26&gt;Steuern!$F$8,AQ26&lt;Steuern!$D$12),INT((Steuern!$H$10*(AQ26-Steuern!$F$8)/10000+Steuern!$I$10)*(AQ26-Steuern!$F$8)/10000+Steuern!$J$10),IF(AND(AQ26&gt;Steuern!$F$10,AQ26&lt;Steuern!$D$14),INT(AQ26*Steuern!$H$12-Steuern!$I$12),IF(AQ26&gt;Steuern!$F$12,INT(AQ26*Steuern!$H$14-Steuern!$I$14),0))))</f>
        <v>42478</v>
      </c>
      <c r="AS26" s="241">
        <f t="shared" si="16"/>
        <v>126548.26170845877</v>
      </c>
      <c r="AT26" s="241">
        <f>IF(AND(AS26&gt;Steuern!$D$6,AS26&lt;Steuern!$D$10),INT((Steuern!$H$8*(AS26-Steuern!$D$6)/10000+Steuern!$I$8)*(AS26-Steuern!$D$6)/10000),IF(AND(AS26&gt;Steuern!$F$8,AS26&lt;Steuern!$D$12),INT((Steuern!$H$10*(AS26-Steuern!$F$8)/10000+Steuern!$I$10)*(AS26-Steuern!$F$8)/10000+Steuern!$J$10),IF(AND(AS26&gt;Steuern!$F$10,AS26&lt;Steuern!$D$14),INT(AS26*Steuern!$H$12-Steuern!$I$12),IF(AS26&gt;Steuern!$F$12,INT(AS26*Steuern!$H$14-Steuern!$I$14),0))))</f>
        <v>43177</v>
      </c>
      <c r="AU26" s="241">
        <f t="shared" si="17"/>
        <v>128309.27067307704</v>
      </c>
      <c r="AV26" s="241">
        <f>IF(AND(AU26&gt;Steuern!$D$6,AU26&lt;Steuern!$D$10),INT((Steuern!$H$8*(AU26-Steuern!$D$6)/10000+Steuern!$I$8)*(AU26-Steuern!$D$6)/10000),IF(AND(AU26&gt;Steuern!$F$8,AU26&lt;Steuern!$D$12),INT((Steuern!$H$10*(AU26-Steuern!$F$8)/10000+Steuern!$I$10)*(AU26-Steuern!$F$8)/10000+Steuern!$J$10),IF(AND(AU26&gt;Steuern!$F$10,AU26&lt;Steuern!$D$14),INT(AU26*Steuern!$H$12-Steuern!$I$12),IF(AU26&gt;Steuern!$F$12,INT(AU26*Steuern!$H$14-Steuern!$I$14),0))))</f>
        <v>43916</v>
      </c>
      <c r="AW26" s="241">
        <f>IF(AND(AU26/2&gt;Steuern!$D$6,AU26/2&lt;Steuern!$D$10),INT((Steuern!$H$8*(AU26/2-Steuern!$D$8)/10000+Steuern!$I$8)*(AU26/2-Steuern!$D$6)/10000),IF(AND(AU26/2&gt;Steuern!$F$8,AU26/2&lt;Steuern!$D$12),INT((Steuern!$H$10*(AU26/2-Steuern!$F$8)/10000+Steuern!$I$10)*(AU26/2-Steuern!$F$8)/10000+Steuern!$J$10),IF(AND(AU26/2&gt;Steuern!$F$10,AU26/2&lt;Steuern!$D$14),INT(AU26/2*Steuern!$H$12-Steuern!$I$12),IF(AU26/2&gt;Steuern!$F$12,INT(AU26/2*Steuern!$H$14-Steuern!$I$14),0))))*2</f>
        <v>33942</v>
      </c>
      <c r="AX26" s="241">
        <f t="shared" si="18"/>
        <v>127049.92564317193</v>
      </c>
      <c r="AY26" s="241">
        <f>IF(AND(AX26&gt;Steuern!$D$6,AX26&lt;Steuern!$D$10),INT((Steuern!N21*(AX26-Steuern!$D$8)/10000+Steuern!$I$8)*(AX26-Steuern!$D$6)/10000),IF(AND(AX26&gt;Steuern!$F$8,AX26&lt;Steuern!$D$12),INT((Steuern!$H$10*(AX26-Steuern!$F$8)/10000+Steuern!$I$10)*(AX26-Steuern!$F$8)/10000+Steuern!$J$10),IF(AND(AX26&gt;Steuern!$F$10,AX26&lt;Steuern!$D$14),INT(AX26*Steuern!$H$12-Steuern!$I$12),IF(AX26&gt;Steuern!$F$12,INT(AX26*Steuern!$H$14-Steuern!$I$14),0))))</f>
        <v>43387</v>
      </c>
      <c r="AZ26" s="241">
        <f t="shared" si="19"/>
        <v>128712.633247545</v>
      </c>
      <c r="BA26" s="241">
        <f>IF(AND(AZ26&gt;Steuern!$D$6,AZ26&lt;Steuern!$D$10),INT((Steuern!P21*(AZ26-Steuern!$D$8)/10000+Steuern!$I$8)*(AZ26-Steuern!$D$6)/10000),IF(AND(AZ26&gt;Steuern!$F$8,AZ26&lt;Steuern!$D$12),INT((Steuern!$H$10*(AZ26-Steuern!$F$8)/10000+Steuern!$I$10)*(AZ26-Steuern!$F$8)/10000+Steuern!$J$10),IF(AND(AZ26&gt;Steuern!$F$10,AZ26&lt;Steuern!$D$14),INT(AZ26*Steuern!$H$12-Steuern!$I$12),IF(AZ26&gt;Steuern!$F$12,INT(AZ26*Steuern!$H$14-Steuern!$I$14),0))))</f>
        <v>44086</v>
      </c>
      <c r="BB26" s="241">
        <f t="shared" ref="BB26:BC26" si="129">AC26-AO26</f>
        <v>-2054</v>
      </c>
      <c r="BC26" s="241">
        <f t="shared" si="129"/>
        <v>-2036</v>
      </c>
      <c r="BD26" s="241">
        <f t="shared" si="21"/>
        <v>-1525</v>
      </c>
      <c r="BE26" s="241">
        <f t="shared" si="22"/>
        <v>-2224</v>
      </c>
      <c r="BF26" s="241">
        <f t="shared" ref="BF26:BG26" si="130">AC26-AV26</f>
        <v>-2963</v>
      </c>
      <c r="BG26" s="241">
        <f t="shared" si="130"/>
        <v>-2944</v>
      </c>
      <c r="BH26" s="241">
        <f t="shared" si="24"/>
        <v>-2434</v>
      </c>
      <c r="BI26" s="241">
        <f t="shared" si="25"/>
        <v>-3133</v>
      </c>
      <c r="BJ26" s="241">
        <f t="shared" si="26"/>
        <v>-2179.8138244972233</v>
      </c>
      <c r="BK26" s="241">
        <f t="shared" si="27"/>
        <v>-2161.8138244972233</v>
      </c>
      <c r="BL26" s="241">
        <f t="shared" si="28"/>
        <v>-1462.2116909403703</v>
      </c>
      <c r="BM26" s="241">
        <f t="shared" si="29"/>
        <v>-427.17216395590003</v>
      </c>
      <c r="BN26" s="241">
        <f t="shared" si="30"/>
        <v>-2179.8138244972233</v>
      </c>
      <c r="BO26" s="241">
        <f t="shared" si="31"/>
        <v>-77388.505049358297</v>
      </c>
      <c r="BP26" s="241">
        <f t="shared" si="32"/>
        <v>-2161.8138244972233</v>
      </c>
      <c r="BQ26" s="241">
        <f t="shared" si="33"/>
        <v>-78685.505049358297</v>
      </c>
      <c r="BR26" s="241">
        <f t="shared" si="34"/>
        <v>-1462.2116909403703</v>
      </c>
      <c r="BS26" s="241">
        <f t="shared" si="35"/>
        <v>-69338.279446676082</v>
      </c>
      <c r="BT26" s="241">
        <f t="shared" si="36"/>
        <v>-427.17216395590003</v>
      </c>
      <c r="BU26" s="241">
        <f t="shared" si="37"/>
        <v>-65797.013425569035</v>
      </c>
      <c r="BV26" s="241">
        <f t="shared" si="38"/>
        <v>-924.44228541099619</v>
      </c>
      <c r="BW26" s="241">
        <f t="shared" si="39"/>
        <v>-905.44228541099619</v>
      </c>
      <c r="BX26" s="241">
        <f t="shared" si="40"/>
        <v>-206.84015185414319</v>
      </c>
      <c r="BY26" s="241">
        <f t="shared" si="41"/>
        <v>828.1993751303271</v>
      </c>
      <c r="BZ26" s="241">
        <f t="shared" si="42"/>
        <v>-924.44228541099619</v>
      </c>
      <c r="CA26" s="241">
        <f t="shared" si="43"/>
        <v>-54779.556555960531</v>
      </c>
      <c r="CB26" s="241">
        <f t="shared" si="44"/>
        <v>-905.44228541099619</v>
      </c>
      <c r="CC26" s="241">
        <f t="shared" si="45"/>
        <v>-54314.556555960531</v>
      </c>
      <c r="CD26" s="241">
        <f t="shared" si="46"/>
        <v>-206.84015185414319</v>
      </c>
      <c r="CE26" s="241">
        <f t="shared" si="47"/>
        <v>-46726.330953278302</v>
      </c>
      <c r="CF26" s="241">
        <f t="shared" si="48"/>
        <v>828.1993751303271</v>
      </c>
      <c r="CG26" s="241">
        <f t="shared" si="49"/>
        <v>-43185.06493217127</v>
      </c>
      <c r="CH26" s="248"/>
      <c r="CI26" s="249">
        <f t="shared" ca="1" si="64"/>
        <v>53571</v>
      </c>
      <c r="CJ26" s="241">
        <f t="shared" si="50"/>
        <v>-2179.8138244972233</v>
      </c>
      <c r="CK26" s="138"/>
      <c r="CL26" s="235">
        <f t="array" aca="1" ref="CL26" ca="1">-SUM((CL4:CL25)*(1+'Immobilie als Kapitalanlage'!$D$80)^(DAYS360($CI$4:$CI$25,$CI$25)/360))</f>
        <v>174215.84976032813</v>
      </c>
      <c r="CM26" s="241">
        <f t="shared" si="53"/>
        <v>-2179.8138244972233</v>
      </c>
      <c r="CN26" s="241">
        <f t="shared" si="54"/>
        <v>-2179.8138244972233</v>
      </c>
      <c r="CO26" s="248"/>
      <c r="CP26" s="254"/>
      <c r="CQ26" s="241"/>
      <c r="CR26" s="241"/>
      <c r="CS26" s="248"/>
      <c r="CT26" s="254"/>
      <c r="CU26" s="241"/>
      <c r="CV26" s="241"/>
      <c r="CW26" s="248"/>
      <c r="CX26" s="254"/>
      <c r="CY26" s="241"/>
      <c r="CZ26" s="241"/>
      <c r="DA26" s="241">
        <f t="shared" si="55"/>
        <v>-924.44228541099619</v>
      </c>
      <c r="DB26" s="248"/>
      <c r="DC26" s="235">
        <f t="array" aca="1" ref="DC26" ca="1">-SUM((DC4:DC25)*(1+'Immobilie als Kapitalanlage'!$D$80)^(DAYS360($CI$4:$CI$25,$CI$25)/360))</f>
        <v>136438.32110757075</v>
      </c>
      <c r="DD26" s="241">
        <f t="shared" si="58"/>
        <v>-924.44228541099619</v>
      </c>
      <c r="DE26" s="241">
        <f t="shared" si="59"/>
        <v>-924.44228541099619</v>
      </c>
      <c r="DF26" s="248"/>
      <c r="DG26" s="254"/>
      <c r="DH26" s="241"/>
      <c r="DI26" s="241"/>
      <c r="DJ26" s="248"/>
      <c r="DK26" s="254"/>
      <c r="DL26" s="241"/>
      <c r="DM26" s="241"/>
      <c r="DN26" s="248"/>
      <c r="DO26" s="254"/>
      <c r="DP26" s="241"/>
      <c r="DQ26" s="241"/>
      <c r="DR26" s="241"/>
      <c r="DS26" s="241">
        <f t="shared" si="3"/>
        <v>-924.44228541099619</v>
      </c>
    </row>
    <row r="27" spans="1:123" ht="15.75" customHeight="1">
      <c r="A27" s="243">
        <v>23</v>
      </c>
      <c r="B27" s="244">
        <f>B26*(1+'Immobilie als Kapitalanlage'!$D$47)</f>
        <v>313033.59156875906</v>
      </c>
      <c r="C27" s="241">
        <f>$C$4*(1+'Immobilie als Kapitalanlage'!$D$47)^A27</f>
        <v>0</v>
      </c>
      <c r="D27" s="244">
        <f t="shared" si="69"/>
        <v>313033.59156875906</v>
      </c>
      <c r="E27" s="138"/>
      <c r="F27" s="245">
        <f>MAX(-FV('Immobilie als Kapitalanlage'!$D$26/12,A27*12,(-I27/12),'Immobilie als Kapitalanlage'!$C$25,0),0)</f>
        <v>117306.31818926695</v>
      </c>
      <c r="G27" s="245">
        <f>IF(I27-H27&gt;G26,F26*'Immobilie als Kapitalanlage'!$D$26,I27-H27)</f>
        <v>4261.7848983259755</v>
      </c>
      <c r="H27" s="241">
        <f t="shared" si="4"/>
        <v>8188.2151016740245</v>
      </c>
      <c r="I27" s="241">
        <f>$F$4*('Immobilie als Kapitalanlage'!$D$26+'Immobilie als Kapitalanlage'!$D$36)</f>
        <v>12450</v>
      </c>
      <c r="J27" s="245">
        <f>MAX((-FV('Immobilie als Kapitalanlage'!$C$85/12,(A27-$A$14)*12,(-M27/12),$J$14,0)),0)</f>
        <v>134816.7514666543</v>
      </c>
      <c r="K27" s="241">
        <f t="shared" si="98"/>
        <v>5539.2061107501195</v>
      </c>
      <c r="L27" s="241">
        <f t="shared" si="99"/>
        <v>6722.1917556930275</v>
      </c>
      <c r="M27" s="241">
        <f>$J$14*('Immobilie als Kapitalanlage'!$C$85+'Immobilie als Kapitalanlage'!$C$86)</f>
        <v>12261.397866443147</v>
      </c>
      <c r="N27" s="245">
        <f>MAX((-FV('Immobilie als Kapitalanlage'!$C$88/12,(A27-$A$19)*12,(-Q27/12),$N$19,0)),0)</f>
        <v>127930.48207100425</v>
      </c>
      <c r="O27" s="245">
        <f t="shared" si="115"/>
        <v>3945.3615130635753</v>
      </c>
      <c r="P27" s="241">
        <f t="shared" si="116"/>
        <v>6581.9968263951014</v>
      </c>
      <c r="Q27" s="241">
        <f>$N$19*('Immobilie als Kapitalanlage'!$C$88+'Immobilie als Kapitalanlage'!$C$89)</f>
        <v>10527.358339458677</v>
      </c>
      <c r="R27" s="250">
        <f t="shared" si="6"/>
        <v>-2252.1831843863015</v>
      </c>
      <c r="S27" s="250">
        <f>'Immobilie als Kapitalanlage'!$C$27*12*(1+'Immobilie als Kapitalanlage'!$D$44)^A26</f>
        <v>-378.45582340593535</v>
      </c>
      <c r="T27" s="250">
        <f>'Immobilie als Kapitalanlage'!$C$29*12*(1+'Immobilie als Kapitalanlage'!$D$44)^A26</f>
        <v>-1317.1746795010495</v>
      </c>
      <c r="U27" s="250">
        <f>'Immobilie als Kapitalanlage'!$C$30*12*(1+'Immobilie als Kapitalanlage'!$D$44)^A26</f>
        <v>-556.55268147931667</v>
      </c>
      <c r="V27" s="250">
        <f>'Immobilie als Kapitalanlage'!$C$28*12*(1+'Immobilie als Kapitalanlage'!$D$44)^A26</f>
        <v>-946.13955851483843</v>
      </c>
      <c r="W27" s="241">
        <f>$W$5*(1+'Immobilie als Kapitalanlage'!$D$43)^A26</f>
        <v>15768.992641913974</v>
      </c>
      <c r="X27" s="241">
        <f>$X$5*(1+'Immobilie als Kapitalanlage'!$D$43)^A26</f>
        <v>17976.651611781926</v>
      </c>
      <c r="Y27" s="241">
        <f>-'Immobilie als Kapitalanlage'!$C$25*'Immobilie als Kapitalanlage'!$D$99</f>
        <v>0</v>
      </c>
      <c r="Z27" s="241">
        <f t="shared" si="7"/>
        <v>0</v>
      </c>
      <c r="AA27" s="241">
        <f>FV((((1+'Immobilie als Kapitalanlage'!$D$80)^(1/12)-1)),A27*12,Y27/12,-'Immobilie als Kapitalanlage'!$G$95,)</f>
        <v>0</v>
      </c>
      <c r="AB27" s="241">
        <f>$AB$5*(1+'Immobilie als Kapitalanlage'!$D$51)^A26</f>
        <v>123678.37366207037</v>
      </c>
      <c r="AC27" s="241">
        <f>IF(AND(AB27&gt;Steuern!$D$6,AB27&lt;Steuern!$D$10),INT((Steuern!$H$8*(AB27-Steuern!$D$6)/10000+Steuern!$I$8)*(AB27-Steuern!$D$6)/10000),IF(AND(AB27&gt;Steuern!$F$8,AB27&lt;Steuern!$D$12),INT((Steuern!$H$10*(AB27-Steuern!$F$8)/10000+Steuern!$I$10)*(AB27-Steuern!$F$8)/10000+Steuern!$J$10),IF(AND(AB27&gt;Steuern!$F$10,AB27&lt;Steuern!$D$14),INT(AB27*Steuern!$H$12-Steuern!$I$12),IF(AB27&gt;Steuern!$F$12,INT(AB27*Steuern!$H$14-Steuern!$I$14),0))))</f>
        <v>41971</v>
      </c>
      <c r="AD27" s="241">
        <f>IF(AND(AB27/2&gt;Steuern!$D$6,AB27/2&lt;Steuern!$D$10),INT((Steuern!$H$8*(AB27/2-Steuern!$D$8)/10000+Steuern!$I$8)*(AB27/2-Steuern!$D$6)/10000),IF(AND(AB27/2&gt;Steuern!$F$8,AB27/2&lt;Steuern!$D$12),INT((Steuern!$H$10*(AB27/2-Steuern!$F$8)/10000+Steuern!$I$10)*(AB27/2-Steuern!$F$8)/10000+Steuern!$J$10),IF(AND(AB27/2&gt;Steuern!$F$10,AB27/2&lt;Steuern!$D$14),INT(AB27/2*Steuern!$H$12-Steuern!$I$12),IF(AB27/2&gt;Steuern!$F$12,INT(AB27/2*Steuern!$H$14-Steuern!$I$14),0))))*2</f>
        <v>32002</v>
      </c>
      <c r="AE27" s="241">
        <f t="shared" si="8"/>
        <v>9255.0245592016963</v>
      </c>
      <c r="AF27" s="241">
        <f t="shared" si="9"/>
        <v>7977.6033467775524</v>
      </c>
      <c r="AG27" s="241">
        <f t="shared" si="10"/>
        <v>9571.4479444640965</v>
      </c>
      <c r="AH27" s="241">
        <f t="shared" si="11"/>
        <v>11462.683529069649</v>
      </c>
      <c r="AI27" s="241">
        <f t="shared" si="12"/>
        <v>10185.262316645505</v>
      </c>
      <c r="AJ27" s="241">
        <f t="shared" si="13"/>
        <v>11779.106914332049</v>
      </c>
      <c r="AK27" s="248"/>
      <c r="AL27" s="241">
        <f>('Immobilie als Kapitalanlage'!$C$16+'Immobilie als Kapitalanlage'!$C$20+'Immobilie als Kapitalanlage'!$C$15)*(1-'Immobilie als Kapitalanlage'!$D$53)</f>
        <v>190858.5</v>
      </c>
      <c r="AM27" s="241">
        <f>AL27*'Immobilie als Kapitalanlage'!$D$52</f>
        <v>3817.17</v>
      </c>
      <c r="AN27" s="241">
        <f t="shared" si="14"/>
        <v>129116.22822127207</v>
      </c>
      <c r="AO27" s="241">
        <f>IF(AND(AN27&gt;Steuern!$D$6,AN27&lt;Steuern!$D$10),INT((Steuern!H22*(AN27-Steuern!$D$8)/10000+Steuern!$I$8)*(AN27-Steuern!$D$6)/10000),IF(AND(AN27&gt;Steuern!$F$8,AN27&lt;Steuern!$D$12),INT((Steuern!$H$10*(AN27-Steuern!$F$8)/10000+Steuern!$I$10)*(AN27-Steuern!$F$8)/10000+Steuern!$J$10),IF(AND(AN27&gt;Steuern!$F$10,AN27&lt;Steuern!$D$14),INT(AN27*Steuern!$H$12-Steuern!$I$12),IF(AN27&gt;Steuern!$F$12,INT(AN27*Steuern!$H$14-Steuern!$I$14),0))))</f>
        <v>44255</v>
      </c>
      <c r="AP27" s="241">
        <f>IF(AND(AN27/2&gt;Steuern!$D$6,AN27/2&lt;Steuern!$D$10),INT((Steuern!$H$8*(AN27/2-Steuern!$D$8)/10000+Steuern!$I$8)*(AN27/2-Steuern!$D$6)/10000),IF(AND(AN27/2&gt;Steuern!$F$8,AN27/2&lt;Steuern!$D$12),INT((Steuern!$H$10*(AN27/2-Steuern!$F$8)/10000+Steuern!$I$10)*(AN27/2-Steuern!$F$8)/10000+Steuern!$J$10),IF(AND(AN27/2&gt;Steuern!$F$10,AN27/2&lt;Steuern!$D$14),INT(AN27/2*Steuern!$H$12-Steuern!$I$12),IF(AN27/2&gt;Steuern!$F$12,INT(AN27/2*Steuern!$H$14-Steuern!$I$14),0))))*2</f>
        <v>34282</v>
      </c>
      <c r="AQ27" s="241">
        <f t="shared" si="15"/>
        <v>127838.80700884793</v>
      </c>
      <c r="AR27" s="241">
        <f>IF(AND(AQ27&gt;Steuern!$D$6,AQ27&lt;Steuern!$D$10),INT((Steuern!$H$8*(AQ27-Steuern!$D$6)/10000+Steuern!$I$8)*(AQ27-Steuern!$D$6)/10000),IF(AND(AQ27&gt;Steuern!$F$8,AQ27&lt;Steuern!$D$12),INT((Steuern!$H$10*(AQ27-Steuern!$F$8)/10000+Steuern!$I$10)*(AQ27-Steuern!$F$8)/10000+Steuern!$J$10),IF(AND(AQ27&gt;Steuern!$F$10,AQ27&lt;Steuern!$D$14),INT(AQ27*Steuern!$H$12-Steuern!$I$12),IF(AQ27&gt;Steuern!$F$12,INT(AQ27*Steuern!$H$14-Steuern!$I$14),0))))</f>
        <v>43719</v>
      </c>
      <c r="AS27" s="241">
        <f t="shared" si="16"/>
        <v>129432.65160653448</v>
      </c>
      <c r="AT27" s="241">
        <f>IF(AND(AS27&gt;Steuern!$D$6,AS27&lt;Steuern!$D$10),INT((Steuern!$H$8*(AS27-Steuern!$D$6)/10000+Steuern!$I$8)*(AS27-Steuern!$D$6)/10000),IF(AND(AS27&gt;Steuern!$F$8,AS27&lt;Steuern!$D$12),INT((Steuern!$H$10*(AS27-Steuern!$F$8)/10000+Steuern!$I$10)*(AS27-Steuern!$F$8)/10000+Steuern!$J$10),IF(AND(AS27&gt;Steuern!$F$10,AS27&lt;Steuern!$D$14),INT(AS27*Steuern!$H$12-Steuern!$I$12),IF(AS27&gt;Steuern!$F$12,INT(AS27*Steuern!$H$14-Steuern!$I$14),0))))</f>
        <v>44388</v>
      </c>
      <c r="AU27" s="241">
        <f t="shared" si="17"/>
        <v>131323.88719114001</v>
      </c>
      <c r="AV27" s="241">
        <f>IF(AND(AU27&gt;Steuern!$D$6,AU27&lt;Steuern!$D$10),INT((Steuern!$H$8*(AU27-Steuern!$D$6)/10000+Steuern!$I$8)*(AU27-Steuern!$D$6)/10000),IF(AND(AU27&gt;Steuern!$F$8,AU27&lt;Steuern!$D$12),INT((Steuern!$H$10*(AU27-Steuern!$F$8)/10000+Steuern!$I$10)*(AU27-Steuern!$F$8)/10000+Steuern!$J$10),IF(AND(AU27&gt;Steuern!$F$10,AU27&lt;Steuern!$D$14),INT(AU27*Steuern!$H$12-Steuern!$I$12),IF(AU27&gt;Steuern!$F$12,INT(AU27*Steuern!$H$14-Steuern!$I$14),0))))</f>
        <v>45183</v>
      </c>
      <c r="AW27" s="241">
        <f>IF(AND(AU27/2&gt;Steuern!$D$6,AU27/2&lt;Steuern!$D$10),INT((Steuern!$H$8*(AU27/2-Steuern!$D$8)/10000+Steuern!$I$8)*(AU27/2-Steuern!$D$6)/10000),IF(AND(AU27/2&gt;Steuern!$F$8,AU27/2&lt;Steuern!$D$12),INT((Steuern!$H$10*(AU27/2-Steuern!$F$8)/10000+Steuern!$I$10)*(AU27/2-Steuern!$F$8)/10000+Steuern!$J$10),IF(AND(AU27/2&gt;Steuern!$F$10,AU27/2&lt;Steuern!$D$14),INT(AU27/2*Steuern!$H$12-Steuern!$I$12),IF(AU27/2&gt;Steuern!$F$12,INT(AU27/2*Steuern!$H$14-Steuern!$I$14),0))))*2</f>
        <v>35210</v>
      </c>
      <c r="AX27" s="241">
        <f t="shared" si="18"/>
        <v>130046.46597871587</v>
      </c>
      <c r="AY27" s="241">
        <f>IF(AND(AX27&gt;Steuern!$D$6,AX27&lt;Steuern!$D$10),INT((Steuern!N22*(AX27-Steuern!$D$8)/10000+Steuern!$I$8)*(AX27-Steuern!$D$6)/10000),IF(AND(AX27&gt;Steuern!$F$8,AX27&lt;Steuern!$D$12),INT((Steuern!$H$10*(AX27-Steuern!$F$8)/10000+Steuern!$I$10)*(AX27-Steuern!$F$8)/10000+Steuern!$J$10),IF(AND(AX27&gt;Steuern!$F$10,AX27&lt;Steuern!$D$14),INT(AX27*Steuern!$H$12-Steuern!$I$12),IF(AX27&gt;Steuern!$F$12,INT(AX27*Steuern!$H$14-Steuern!$I$14),0))))</f>
        <v>44646</v>
      </c>
      <c r="AZ27" s="241">
        <f t="shared" si="19"/>
        <v>131640.31057640241</v>
      </c>
      <c r="BA27" s="241">
        <f>IF(AND(AZ27&gt;Steuern!$D$6,AZ27&lt;Steuern!$D$10),INT((Steuern!P22*(AZ27-Steuern!$D$8)/10000+Steuern!$I$8)*(AZ27-Steuern!$D$6)/10000),IF(AND(AZ27&gt;Steuern!$F$8,AZ27&lt;Steuern!$D$12),INT((Steuern!$H$10*(AZ27-Steuern!$F$8)/10000+Steuern!$I$10)*(AZ27-Steuern!$F$8)/10000+Steuern!$J$10),IF(AND(AZ27&gt;Steuern!$F$10,AZ27&lt;Steuern!$D$14),INT(AZ27*Steuern!$H$12-Steuern!$I$12),IF(AZ27&gt;Steuern!$F$12,INT(AZ27*Steuern!$H$14-Steuern!$I$14),0))))</f>
        <v>45315</v>
      </c>
      <c r="BB27" s="241">
        <f t="shared" ref="BB27:BC27" si="131">AC27-AO27</f>
        <v>-2284</v>
      </c>
      <c r="BC27" s="241">
        <f t="shared" si="131"/>
        <v>-2280</v>
      </c>
      <c r="BD27" s="241">
        <f t="shared" si="21"/>
        <v>-1748</v>
      </c>
      <c r="BE27" s="241">
        <f t="shared" si="22"/>
        <v>-2417</v>
      </c>
      <c r="BF27" s="241">
        <f t="shared" ref="BF27:BG27" si="132">AC27-AV27</f>
        <v>-3212</v>
      </c>
      <c r="BG27" s="241">
        <f t="shared" si="132"/>
        <v>-3208</v>
      </c>
      <c r="BH27" s="241">
        <f t="shared" si="24"/>
        <v>-2675</v>
      </c>
      <c r="BI27" s="241">
        <f t="shared" si="25"/>
        <v>-3344</v>
      </c>
      <c r="BJ27" s="241">
        <f t="shared" si="26"/>
        <v>-2163.3301009871666</v>
      </c>
      <c r="BK27" s="241">
        <f t="shared" si="27"/>
        <v>-2159.3301009871666</v>
      </c>
      <c r="BL27" s="241">
        <f t="shared" si="28"/>
        <v>-1438.7279674303136</v>
      </c>
      <c r="BM27" s="241">
        <f t="shared" si="29"/>
        <v>-373.6884404458433</v>
      </c>
      <c r="BN27" s="241">
        <f t="shared" si="30"/>
        <v>-2163.3301009871666</v>
      </c>
      <c r="BO27" s="241">
        <f t="shared" si="31"/>
        <v>-79551.835150345461</v>
      </c>
      <c r="BP27" s="241">
        <f t="shared" si="32"/>
        <v>-2159.3301009871666</v>
      </c>
      <c r="BQ27" s="241">
        <f t="shared" si="33"/>
        <v>-80844.835150345461</v>
      </c>
      <c r="BR27" s="241">
        <f t="shared" si="34"/>
        <v>-1438.7279674303136</v>
      </c>
      <c r="BS27" s="241">
        <f t="shared" si="35"/>
        <v>-70777.007414106396</v>
      </c>
      <c r="BT27" s="241">
        <f t="shared" si="36"/>
        <v>-373.6884404458433</v>
      </c>
      <c r="BU27" s="241">
        <f t="shared" si="37"/>
        <v>-66170.701866014875</v>
      </c>
      <c r="BV27" s="241">
        <f t="shared" si="38"/>
        <v>-883.6711311192139</v>
      </c>
      <c r="BW27" s="241">
        <f t="shared" si="39"/>
        <v>-879.6711311192139</v>
      </c>
      <c r="BX27" s="241">
        <f t="shared" si="40"/>
        <v>-158.06899756236089</v>
      </c>
      <c r="BY27" s="241">
        <f t="shared" si="41"/>
        <v>906.97052942210939</v>
      </c>
      <c r="BZ27" s="241">
        <f t="shared" si="42"/>
        <v>-883.6711311192139</v>
      </c>
      <c r="CA27" s="241">
        <f t="shared" si="43"/>
        <v>-55663.227687079743</v>
      </c>
      <c r="CB27" s="241">
        <f t="shared" si="44"/>
        <v>-879.6711311192139</v>
      </c>
      <c r="CC27" s="241">
        <f t="shared" si="45"/>
        <v>-55194.227687079743</v>
      </c>
      <c r="CD27" s="241">
        <f t="shared" si="46"/>
        <v>-158.06899756236089</v>
      </c>
      <c r="CE27" s="241">
        <f t="shared" si="47"/>
        <v>-46884.399950840663</v>
      </c>
      <c r="CF27" s="241">
        <f t="shared" si="48"/>
        <v>906.97052942210939</v>
      </c>
      <c r="CG27" s="241">
        <f t="shared" si="49"/>
        <v>-42278.094402749164</v>
      </c>
      <c r="CH27" s="248"/>
      <c r="CI27" s="249">
        <f t="shared" ca="1" si="64"/>
        <v>53936</v>
      </c>
      <c r="CJ27" s="241">
        <f t="shared" si="50"/>
        <v>-2163.3301009871666</v>
      </c>
      <c r="CK27" s="138"/>
      <c r="CL27" s="254"/>
      <c r="CM27" s="241">
        <f t="shared" si="53"/>
        <v>-2163.3301009871666</v>
      </c>
      <c r="CN27" s="241">
        <f t="shared" si="54"/>
        <v>-2163.3301009871666</v>
      </c>
      <c r="CO27" s="248"/>
      <c r="CP27" s="254"/>
      <c r="CQ27" s="241"/>
      <c r="CR27" s="241"/>
      <c r="CS27" s="248"/>
      <c r="CT27" s="254"/>
      <c r="CU27" s="241"/>
      <c r="CV27" s="241"/>
      <c r="CW27" s="248"/>
      <c r="CX27" s="254"/>
      <c r="CY27" s="241"/>
      <c r="CZ27" s="241"/>
      <c r="DA27" s="241">
        <f t="shared" si="55"/>
        <v>-883.6711311192139</v>
      </c>
      <c r="DB27" s="248"/>
      <c r="DC27" s="254"/>
      <c r="DD27" s="241">
        <f t="shared" si="58"/>
        <v>-883.6711311192139</v>
      </c>
      <c r="DE27" s="241">
        <f t="shared" si="59"/>
        <v>-883.6711311192139</v>
      </c>
      <c r="DF27" s="248"/>
      <c r="DG27" s="254"/>
      <c r="DH27" s="241"/>
      <c r="DI27" s="241"/>
      <c r="DJ27" s="248"/>
      <c r="DK27" s="254"/>
      <c r="DL27" s="241"/>
      <c r="DM27" s="241"/>
      <c r="DN27" s="248"/>
      <c r="DO27" s="254"/>
      <c r="DP27" s="241"/>
      <c r="DQ27" s="241"/>
      <c r="DR27" s="241"/>
      <c r="DS27" s="241">
        <f t="shared" si="3"/>
        <v>-883.6711311192139</v>
      </c>
    </row>
    <row r="28" spans="1:123" ht="15.75" customHeight="1">
      <c r="A28" s="243">
        <v>24</v>
      </c>
      <c r="B28" s="244">
        <f>B27*(1+'Immobilie als Kapitalanlage'!$D$47)</f>
        <v>316163.92748444667</v>
      </c>
      <c r="C28" s="241">
        <f>$C$4*(1+'Immobilie als Kapitalanlage'!$D$47)^A28</f>
        <v>0</v>
      </c>
      <c r="D28" s="244">
        <f t="shared" si="69"/>
        <v>316163.92748444667</v>
      </c>
      <c r="E28" s="138"/>
      <c r="F28" s="245">
        <f>MAX(-FV('Immobilie als Kapitalanlage'!$D$26/12,A28*12,(-I28/12),'Immobilie als Kapitalanlage'!$C$25,0),0)</f>
        <v>108826.87322636013</v>
      </c>
      <c r="G28" s="245">
        <f>IF(I28-H28&gt;G27,F27*'Immobilie als Kapitalanlage'!$D$26,I28-H28)</f>
        <v>3970.5550370931742</v>
      </c>
      <c r="H28" s="241">
        <f t="shared" si="4"/>
        <v>8479.4449629068258</v>
      </c>
      <c r="I28" s="241">
        <f>$F$4*('Immobilie als Kapitalanlage'!$D$26+'Immobilie als Kapitalanlage'!$D$36)</f>
        <v>12450</v>
      </c>
      <c r="J28" s="245">
        <f>MAX((-FV('Immobilie als Kapitalanlage'!$C$85/12,(A28-$A$14)*12,(-M28/12),$J$14,0)),0)</f>
        <v>127820.68724703163</v>
      </c>
      <c r="K28" s="241">
        <f t="shared" si="98"/>
        <v>5265.333646820478</v>
      </c>
      <c r="L28" s="241">
        <f t="shared" si="99"/>
        <v>6996.064219622669</v>
      </c>
      <c r="M28" s="241">
        <f>$J$14*('Immobilie als Kapitalanlage'!$C$85+'Immobilie als Kapitalanlage'!$C$86)</f>
        <v>12261.397866443147</v>
      </c>
      <c r="N28" s="245">
        <f>MAX((-FV('Immobilie als Kapitalanlage'!$C$88/12,(A28-$A$19)*12,(-Q28/12),$N$19,0)),0)</f>
        <v>121148.28751273271</v>
      </c>
      <c r="O28" s="245">
        <f t="shared" si="115"/>
        <v>3745.1637811871351</v>
      </c>
      <c r="P28" s="241">
        <f t="shared" si="116"/>
        <v>6782.1945582715416</v>
      </c>
      <c r="Q28" s="241">
        <f>$N$19*('Immobilie als Kapitalanlage'!$C$88+'Immobilie als Kapitalanlage'!$C$89)</f>
        <v>10527.358339458677</v>
      </c>
      <c r="R28" s="250">
        <f t="shared" si="6"/>
        <v>-2297.2268480740272</v>
      </c>
      <c r="S28" s="250">
        <f>'Immobilie als Kapitalanlage'!$C$27*12*(1+'Immobilie als Kapitalanlage'!$D$44)^A27</f>
        <v>-386.02493987405398</v>
      </c>
      <c r="T28" s="250">
        <f>'Immobilie als Kapitalanlage'!$C$29*12*(1+'Immobilie als Kapitalanlage'!$D$44)^A27</f>
        <v>-1343.5181730910704</v>
      </c>
      <c r="U28" s="250">
        <f>'Immobilie als Kapitalanlage'!$C$30*12*(1+'Immobilie als Kapitalanlage'!$D$44)^A27</f>
        <v>-567.68373510890297</v>
      </c>
      <c r="V28" s="250">
        <f>'Immobilie als Kapitalanlage'!$C$28*12*(1+'Immobilie als Kapitalanlage'!$D$44)^A27</f>
        <v>-965.06234968513502</v>
      </c>
      <c r="W28" s="241">
        <f>$W$5*(1+'Immobilie als Kapitalanlage'!$D$43)^A27</f>
        <v>16084.37249475225</v>
      </c>
      <c r="X28" s="241">
        <f>$X$5*(1+'Immobilie als Kapitalanlage'!$D$43)^A27</f>
        <v>18336.184644017561</v>
      </c>
      <c r="Y28" s="241">
        <f>-'Immobilie als Kapitalanlage'!$C$25*'Immobilie als Kapitalanlage'!$D$99</f>
        <v>0</v>
      </c>
      <c r="Z28" s="241">
        <f t="shared" si="7"/>
        <v>0</v>
      </c>
      <c r="AA28" s="241">
        <f>FV((((1+'Immobilie als Kapitalanlage'!$D$80)^(1/12)-1)),A28*12,Y28/12,-'Immobilie als Kapitalanlage'!$G$95,)</f>
        <v>0</v>
      </c>
      <c r="AB28" s="241">
        <f>$AB$5*(1+'Immobilie als Kapitalanlage'!$D$51)^A27</f>
        <v>126151.94113531176</v>
      </c>
      <c r="AC28" s="241">
        <f>IF(AND(AB28&gt;Steuern!$D$6,AB28&lt;Steuern!$D$10),INT((Steuern!$H$8*(AB28-Steuern!$D$6)/10000+Steuern!$I$8)*(AB28-Steuern!$D$6)/10000),IF(AND(AB28&gt;Steuern!$F$8,AB28&lt;Steuern!$D$12),INT((Steuern!$H$10*(AB28-Steuern!$F$8)/10000+Steuern!$I$10)*(AB28-Steuern!$F$8)/10000+Steuern!$J$10),IF(AND(AB28&gt;Steuern!$F$10,AB28&lt;Steuern!$D$14),INT(AB28*Steuern!$H$12-Steuern!$I$12),IF(AB28&gt;Steuern!$F$12,INT(AB28*Steuern!$H$14-Steuern!$I$14),0))))</f>
        <v>43010</v>
      </c>
      <c r="AD28" s="241">
        <f>IF(AND(AB28/2&gt;Steuern!$D$6,AB28/2&lt;Steuern!$D$10),INT((Steuern!$H$8*(AB28/2-Steuern!$D$8)/10000+Steuern!$I$8)*(AB28/2-Steuern!$D$6)/10000),IF(AND(AB28/2&gt;Steuern!$F$8,AB28/2&lt;Steuern!$D$12),INT((Steuern!$H$10*(AB28/2-Steuern!$F$8)/10000+Steuern!$I$10)*(AB28/2-Steuern!$F$8)/10000+Steuern!$J$10),IF(AND(AB28/2&gt;Steuern!$F$10,AB28/2&lt;Steuern!$D$14),INT(AB28/2*Steuern!$H$12-Steuern!$I$12),IF(AB28/2&gt;Steuern!$F$12,INT(AB28/2*Steuern!$H$14-Steuern!$I$14),0))))*2</f>
        <v>33036</v>
      </c>
      <c r="AE28" s="241">
        <f t="shared" si="8"/>
        <v>9816.5906095850478</v>
      </c>
      <c r="AF28" s="241">
        <f t="shared" si="9"/>
        <v>8521.811999857744</v>
      </c>
      <c r="AG28" s="241">
        <f t="shared" si="10"/>
        <v>10041.981865491087</v>
      </c>
      <c r="AH28" s="241">
        <f t="shared" si="11"/>
        <v>12068.40275885036</v>
      </c>
      <c r="AI28" s="241">
        <f t="shared" si="12"/>
        <v>10773.624149123056</v>
      </c>
      <c r="AJ28" s="241">
        <f t="shared" si="13"/>
        <v>12293.794014756399</v>
      </c>
      <c r="AK28" s="248"/>
      <c r="AL28" s="241">
        <f>('Immobilie als Kapitalanlage'!$C$16+'Immobilie als Kapitalanlage'!$C$20+'Immobilie als Kapitalanlage'!$C$15)*(1-'Immobilie als Kapitalanlage'!$D$53)</f>
        <v>190858.5</v>
      </c>
      <c r="AM28" s="241">
        <f>AL28*'Immobilie als Kapitalanlage'!$D$52</f>
        <v>3817.17</v>
      </c>
      <c r="AN28" s="241">
        <f t="shared" si="14"/>
        <v>132151.3617448968</v>
      </c>
      <c r="AO28" s="241">
        <f>IF(AND(AN28&gt;Steuern!$D$6,AN28&lt;Steuern!$D$10),INT((Steuern!H23*(AN28-Steuern!$D$8)/10000+Steuern!$I$8)*(AN28-Steuern!$D$6)/10000),IF(AND(AN28&gt;Steuern!$F$8,AN28&lt;Steuern!$D$12),INT((Steuern!$H$10*(AN28-Steuern!$F$8)/10000+Steuern!$I$10)*(AN28-Steuern!$F$8)/10000+Steuern!$J$10),IF(AND(AN28&gt;Steuern!$F$10,AN28&lt;Steuern!$D$14),INT(AN28*Steuern!$H$12-Steuern!$I$12),IF(AN28&gt;Steuern!$F$12,INT(AN28*Steuern!$H$14-Steuern!$I$14),0))))</f>
        <v>45530</v>
      </c>
      <c r="AP28" s="241">
        <f>IF(AND(AN28/2&gt;Steuern!$D$6,AN28/2&lt;Steuern!$D$10),INT((Steuern!$H$8*(AN28/2-Steuern!$D$8)/10000+Steuern!$I$8)*(AN28/2-Steuern!$D$6)/10000),IF(AND(AN28/2&gt;Steuern!$F$8,AN28/2&lt;Steuern!$D$12),INT((Steuern!$H$10*(AN28/2-Steuern!$F$8)/10000+Steuern!$I$10)*(AN28/2-Steuern!$F$8)/10000+Steuern!$J$10),IF(AND(AN28/2&gt;Steuern!$F$10,AN28/2&lt;Steuern!$D$14),INT(AN28/2*Steuern!$H$12-Steuern!$I$12),IF(AN28/2&gt;Steuern!$F$12,INT(AN28/2*Steuern!$H$14-Steuern!$I$14),0))))*2</f>
        <v>35556</v>
      </c>
      <c r="AQ28" s="241">
        <f t="shared" si="15"/>
        <v>130856.58313516951</v>
      </c>
      <c r="AR28" s="241">
        <f>IF(AND(AQ28&gt;Steuern!$D$6,AQ28&lt;Steuern!$D$10),INT((Steuern!$H$8*(AQ28-Steuern!$D$6)/10000+Steuern!$I$8)*(AQ28-Steuern!$D$6)/10000),IF(AND(AQ28&gt;Steuern!$F$8,AQ28&lt;Steuern!$D$12),INT((Steuern!$H$10*(AQ28-Steuern!$F$8)/10000+Steuern!$I$10)*(AQ28-Steuern!$F$8)/10000+Steuern!$J$10),IF(AND(AQ28&gt;Steuern!$F$10,AQ28&lt;Steuern!$D$14),INT(AQ28*Steuern!$H$12-Steuern!$I$12),IF(AQ28&gt;Steuern!$F$12,INT(AQ28*Steuern!$H$14-Steuern!$I$14),0))))</f>
        <v>44986</v>
      </c>
      <c r="AS28" s="241">
        <f t="shared" si="16"/>
        <v>132376.75300080283</v>
      </c>
      <c r="AT28" s="241">
        <f>IF(AND(AS28&gt;Steuern!$D$6,AS28&lt;Steuern!$D$10),INT((Steuern!$H$8*(AS28-Steuern!$D$6)/10000+Steuern!$I$8)*(AS28-Steuern!$D$6)/10000),IF(AND(AS28&gt;Steuern!$F$8,AS28&lt;Steuern!$D$12),INT((Steuern!$H$10*(AS28-Steuern!$F$8)/10000+Steuern!$I$10)*(AS28-Steuern!$F$8)/10000+Steuern!$J$10),IF(AND(AS28&gt;Steuern!$F$10,AS28&lt;Steuern!$D$14),INT(AS28*Steuern!$H$12-Steuern!$I$12),IF(AS28&gt;Steuern!$F$12,INT(AS28*Steuern!$H$14-Steuern!$I$14),0))))</f>
        <v>45625</v>
      </c>
      <c r="AU28" s="241">
        <f t="shared" si="17"/>
        <v>134403.17389416212</v>
      </c>
      <c r="AV28" s="241">
        <f>IF(AND(AU28&gt;Steuern!$D$6,AU28&lt;Steuern!$D$10),INT((Steuern!$H$8*(AU28-Steuern!$D$6)/10000+Steuern!$I$8)*(AU28-Steuern!$D$6)/10000),IF(AND(AU28&gt;Steuern!$F$8,AU28&lt;Steuern!$D$12),INT((Steuern!$H$10*(AU28-Steuern!$F$8)/10000+Steuern!$I$10)*(AU28-Steuern!$F$8)/10000+Steuern!$J$10),IF(AND(AU28&gt;Steuern!$F$10,AU28&lt;Steuern!$D$14),INT(AU28*Steuern!$H$12-Steuern!$I$12),IF(AU28&gt;Steuern!$F$12,INT(AU28*Steuern!$H$14-Steuern!$I$14),0))))</f>
        <v>46476</v>
      </c>
      <c r="AW28" s="241">
        <f>IF(AND(AU28/2&gt;Steuern!$D$6,AU28/2&lt;Steuern!$D$10),INT((Steuern!$H$8*(AU28/2-Steuern!$D$8)/10000+Steuern!$I$8)*(AU28/2-Steuern!$D$6)/10000),IF(AND(AU28/2&gt;Steuern!$F$8,AU28/2&lt;Steuern!$D$12),INT((Steuern!$H$10*(AU28/2-Steuern!$F$8)/10000+Steuern!$I$10)*(AU28/2-Steuern!$F$8)/10000+Steuern!$J$10),IF(AND(AU28/2&gt;Steuern!$F$10,AU28/2&lt;Steuern!$D$14),INT(AU28/2*Steuern!$H$12-Steuern!$I$12),IF(AU28/2&gt;Steuern!$F$12,INT(AU28/2*Steuern!$H$14-Steuern!$I$14),0))))*2</f>
        <v>36502</v>
      </c>
      <c r="AX28" s="241">
        <f t="shared" si="18"/>
        <v>133108.39528443481</v>
      </c>
      <c r="AY28" s="241">
        <f>IF(AND(AX28&gt;Steuern!$D$6,AX28&lt;Steuern!$D$10),INT((Steuern!N23*(AX28-Steuern!$D$8)/10000+Steuern!$I$8)*(AX28-Steuern!$D$6)/10000),IF(AND(AX28&gt;Steuern!$F$8,AX28&lt;Steuern!$D$12),INT((Steuern!$H$10*(AX28-Steuern!$F$8)/10000+Steuern!$I$10)*(AX28-Steuern!$F$8)/10000+Steuern!$J$10),IF(AND(AX28&gt;Steuern!$F$10,AX28&lt;Steuern!$D$14),INT(AX28*Steuern!$H$12-Steuern!$I$12),IF(AX28&gt;Steuern!$F$12,INT(AX28*Steuern!$H$14-Steuern!$I$14),0))))</f>
        <v>45932</v>
      </c>
      <c r="AZ28" s="241">
        <f t="shared" si="19"/>
        <v>134628.56515006814</v>
      </c>
      <c r="BA28" s="241">
        <f>IF(AND(AZ28&gt;Steuern!$D$6,AZ28&lt;Steuern!$D$10),INT((Steuern!P23*(AZ28-Steuern!$D$8)/10000+Steuern!$I$8)*(AZ28-Steuern!$D$6)/10000),IF(AND(AZ28&gt;Steuern!$F$8,AZ28&lt;Steuern!$D$12),INT((Steuern!$H$10*(AZ28-Steuern!$F$8)/10000+Steuern!$I$10)*(AZ28-Steuern!$F$8)/10000+Steuern!$J$10),IF(AND(AZ28&gt;Steuern!$F$10,AZ28&lt;Steuern!$D$14),INT(AZ28*Steuern!$H$12-Steuern!$I$12),IF(AZ28&gt;Steuern!$F$12,INT(AZ28*Steuern!$H$14-Steuern!$I$14),0))))</f>
        <v>46571</v>
      </c>
      <c r="BB28" s="241">
        <f t="shared" ref="BB28:BC28" si="133">AC28-AO28</f>
        <v>-2520</v>
      </c>
      <c r="BC28" s="241">
        <f t="shared" si="133"/>
        <v>-2520</v>
      </c>
      <c r="BD28" s="241">
        <f t="shared" si="21"/>
        <v>-1976</v>
      </c>
      <c r="BE28" s="241">
        <f t="shared" si="22"/>
        <v>-2615</v>
      </c>
      <c r="BF28" s="241">
        <f t="shared" ref="BF28:BG28" si="134">AC28-AV28</f>
        <v>-3466</v>
      </c>
      <c r="BG28" s="241">
        <f t="shared" si="134"/>
        <v>-3466</v>
      </c>
      <c r="BH28" s="241">
        <f t="shared" si="24"/>
        <v>-2922</v>
      </c>
      <c r="BI28" s="241">
        <f t="shared" si="25"/>
        <v>-3561</v>
      </c>
      <c r="BJ28" s="241">
        <f t="shared" si="26"/>
        <v>-2147.9167030069129</v>
      </c>
      <c r="BK28" s="241">
        <f t="shared" si="27"/>
        <v>-2147.9167030069129</v>
      </c>
      <c r="BL28" s="241">
        <f t="shared" si="28"/>
        <v>-1415.3145694500599</v>
      </c>
      <c r="BM28" s="241">
        <f t="shared" si="29"/>
        <v>-320.27504246558965</v>
      </c>
      <c r="BN28" s="241">
        <f t="shared" si="30"/>
        <v>-2147.9167030069129</v>
      </c>
      <c r="BO28" s="241">
        <f t="shared" si="31"/>
        <v>-81699.751853352369</v>
      </c>
      <c r="BP28" s="241">
        <f t="shared" si="32"/>
        <v>-2147.9167030069129</v>
      </c>
      <c r="BQ28" s="241">
        <f t="shared" si="33"/>
        <v>-82992.751853352369</v>
      </c>
      <c r="BR28" s="241">
        <f t="shared" si="34"/>
        <v>-1415.3145694500599</v>
      </c>
      <c r="BS28" s="241">
        <f t="shared" si="35"/>
        <v>-72192.321983556452</v>
      </c>
      <c r="BT28" s="241">
        <f t="shared" si="36"/>
        <v>-320.27504246558965</v>
      </c>
      <c r="BU28" s="241">
        <f t="shared" si="37"/>
        <v>-66490.976908480457</v>
      </c>
      <c r="BV28" s="241">
        <f t="shared" si="38"/>
        <v>-842.10455374160119</v>
      </c>
      <c r="BW28" s="241">
        <f t="shared" si="39"/>
        <v>-842.10455374160119</v>
      </c>
      <c r="BX28" s="241">
        <f t="shared" si="40"/>
        <v>-109.50242018474819</v>
      </c>
      <c r="BY28" s="241">
        <f t="shared" si="41"/>
        <v>985.5371067997221</v>
      </c>
      <c r="BZ28" s="241">
        <f t="shared" si="42"/>
        <v>-842.10455374160119</v>
      </c>
      <c r="CA28" s="241">
        <f t="shared" si="43"/>
        <v>-56505.332240821343</v>
      </c>
      <c r="CB28" s="241">
        <f t="shared" si="44"/>
        <v>-842.10455374160119</v>
      </c>
      <c r="CC28" s="241">
        <f t="shared" si="45"/>
        <v>-56036.332240821343</v>
      </c>
      <c r="CD28" s="241">
        <f t="shared" si="46"/>
        <v>-109.50242018474819</v>
      </c>
      <c r="CE28" s="241">
        <f t="shared" si="47"/>
        <v>-46993.902371025411</v>
      </c>
      <c r="CF28" s="241">
        <f t="shared" si="48"/>
        <v>985.5371067997221</v>
      </c>
      <c r="CG28" s="241">
        <f t="shared" si="49"/>
        <v>-41292.557295949446</v>
      </c>
      <c r="CH28" s="248"/>
      <c r="CI28" s="249">
        <f t="shared" ca="1" si="64"/>
        <v>54302</v>
      </c>
      <c r="CJ28" s="241">
        <f t="shared" si="50"/>
        <v>-2147.9167030069129</v>
      </c>
      <c r="CK28" s="138"/>
      <c r="CL28" s="248"/>
      <c r="CM28" s="241">
        <f t="shared" si="53"/>
        <v>-2147.9167030069129</v>
      </c>
      <c r="CN28" s="241">
        <f t="shared" si="54"/>
        <v>-2147.9167030069129</v>
      </c>
      <c r="CO28" s="248"/>
      <c r="CP28" s="248"/>
      <c r="CQ28" s="241"/>
      <c r="CR28" s="241"/>
      <c r="CS28" s="248"/>
      <c r="CT28" s="248"/>
      <c r="CU28" s="241"/>
      <c r="CV28" s="241"/>
      <c r="CW28" s="248"/>
      <c r="CX28" s="248"/>
      <c r="CY28" s="241"/>
      <c r="CZ28" s="241"/>
      <c r="DA28" s="241">
        <f t="shared" si="55"/>
        <v>-842.10455374160119</v>
      </c>
      <c r="DB28" s="248"/>
      <c r="DC28" s="248"/>
      <c r="DD28" s="241">
        <f t="shared" si="58"/>
        <v>-842.10455374160119</v>
      </c>
      <c r="DE28" s="241">
        <f t="shared" si="59"/>
        <v>-842.10455374160119</v>
      </c>
      <c r="DF28" s="248"/>
      <c r="DG28" s="248"/>
      <c r="DH28" s="241"/>
      <c r="DI28" s="241"/>
      <c r="DJ28" s="248"/>
      <c r="DK28" s="248"/>
      <c r="DL28" s="241"/>
      <c r="DM28" s="241"/>
      <c r="DN28" s="248"/>
      <c r="DO28" s="248"/>
      <c r="DP28" s="241"/>
      <c r="DQ28" s="241"/>
      <c r="DR28" s="241"/>
      <c r="DS28" s="241">
        <f t="shared" si="3"/>
        <v>-842.10455374160119</v>
      </c>
    </row>
    <row r="29" spans="1:123" ht="15.75" customHeight="1">
      <c r="A29" s="243">
        <v>25</v>
      </c>
      <c r="B29" s="244">
        <f>B28*(1+'Immobilie als Kapitalanlage'!$D$47)</f>
        <v>319325.56675929116</v>
      </c>
      <c r="C29" s="241">
        <f>$C$4*(1+'Immobilie als Kapitalanlage'!$D$47)^A29</f>
        <v>0</v>
      </c>
      <c r="D29" s="244">
        <f t="shared" si="69"/>
        <v>319325.56675929116</v>
      </c>
      <c r="E29" s="138"/>
      <c r="F29" s="245">
        <f>MAX(-FV('Immobilie als Kapitalanlage'!$D$26/12,A29*12,(-I29/12),'Immobilie als Kapitalanlage'!$C$25,0),0)</f>
        <v>100045.84024344973</v>
      </c>
      <c r="G29" s="245">
        <f>IF(I29-H29&gt;G28,F28*'Immobilie als Kapitalanlage'!$D$26,I29-H29)</f>
        <v>3668.9670170895988</v>
      </c>
      <c r="H29" s="241">
        <f t="shared" si="4"/>
        <v>8781.0329829104012</v>
      </c>
      <c r="I29" s="241">
        <f>$F$4*('Immobilie als Kapitalanlage'!$D$26+'Immobilie als Kapitalanlage'!$D$36)</f>
        <v>12450</v>
      </c>
      <c r="J29" s="245">
        <f>MAX((-FV('Immobilie als Kapitalanlage'!$C$85/12,(A29-$A$14)*12,(-M29/12),$J$14,0)),0)</f>
        <v>120539.59257673562</v>
      </c>
      <c r="K29" s="241">
        <f t="shared" si="98"/>
        <v>4980.3031961471406</v>
      </c>
      <c r="L29" s="241">
        <f t="shared" si="99"/>
        <v>7281.0946702960064</v>
      </c>
      <c r="M29" s="241">
        <f>$J$14*('Immobilie als Kapitalanlage'!$C$85+'Immobilie als Kapitalanlage'!$C$86)</f>
        <v>12261.397866443147</v>
      </c>
      <c r="N29" s="245">
        <f>MAX((-FV('Immobilie als Kapitalanlage'!$C$88/12,(A29-$A$19)*12,(-Q29/12),$N$19,0)),0)</f>
        <v>114159.80601699781</v>
      </c>
      <c r="O29" s="245">
        <f t="shared" si="115"/>
        <v>3538.8768437237759</v>
      </c>
      <c r="P29" s="241">
        <f t="shared" si="116"/>
        <v>6988.4814957349008</v>
      </c>
      <c r="Q29" s="241">
        <f>$N$19*('Immobilie als Kapitalanlage'!$C$88+'Immobilie als Kapitalanlage'!$C$89)</f>
        <v>10527.358339458677</v>
      </c>
      <c r="R29" s="250">
        <f t="shared" si="6"/>
        <v>-2343.1713850355081</v>
      </c>
      <c r="S29" s="250">
        <f>'Immobilie als Kapitalanlage'!$C$27*12*(1+'Immobilie als Kapitalanlage'!$D$44)^A28</f>
        <v>-393.74543867153506</v>
      </c>
      <c r="T29" s="250">
        <f>'Immobilie als Kapitalanlage'!$C$29*12*(1+'Immobilie als Kapitalanlage'!$D$44)^A28</f>
        <v>-1370.3885365528918</v>
      </c>
      <c r="U29" s="250">
        <f>'Immobilie als Kapitalanlage'!$C$30*12*(1+'Immobilie als Kapitalanlage'!$D$44)^A28</f>
        <v>-579.03740981108103</v>
      </c>
      <c r="V29" s="250">
        <f>'Immobilie als Kapitalanlage'!$C$28*12*(1+'Immobilie als Kapitalanlage'!$D$44)^A28</f>
        <v>-984.36359667883778</v>
      </c>
      <c r="W29" s="241">
        <f>$W$5*(1+'Immobilie als Kapitalanlage'!$D$43)^A28</f>
        <v>16406.059944647295</v>
      </c>
      <c r="X29" s="241">
        <f>$X$5*(1+'Immobilie als Kapitalanlage'!$D$43)^A28</f>
        <v>18702.908336897915</v>
      </c>
      <c r="Y29" s="241">
        <f>-'Immobilie als Kapitalanlage'!$C$25*'Immobilie als Kapitalanlage'!$D$99</f>
        <v>0</v>
      </c>
      <c r="Z29" s="241">
        <f t="shared" si="7"/>
        <v>0</v>
      </c>
      <c r="AA29" s="241">
        <f>FV((((1+'Immobilie als Kapitalanlage'!$D$80)^(1/12)-1)),A29*12,Y29/12,-'Immobilie als Kapitalanlage'!$G$95,)</f>
        <v>0</v>
      </c>
      <c r="AB29" s="241">
        <f>$AB$5*(1+'Immobilie als Kapitalanlage'!$D$51)^A28</f>
        <v>128674.979958018</v>
      </c>
      <c r="AC29" s="241">
        <f>IF(AND(AB29&gt;Steuern!$D$6,AB29&lt;Steuern!$D$10),INT((Steuern!$H$8*(AB29-Steuern!$D$6)/10000+Steuern!$I$8)*(AB29-Steuern!$D$6)/10000),IF(AND(AB29&gt;Steuern!$F$8,AB29&lt;Steuern!$D$12),INT((Steuern!$H$10*(AB29-Steuern!$F$8)/10000+Steuern!$I$10)*(AB29-Steuern!$F$8)/10000+Steuern!$J$10),IF(AND(AB29&gt;Steuern!$F$10,AB29&lt;Steuern!$D$14),INT(AB29*Steuern!$H$12-Steuern!$I$12),IF(AB29&gt;Steuern!$F$12,INT(AB29*Steuern!$H$14-Steuern!$I$14),0))))</f>
        <v>44070</v>
      </c>
      <c r="AD29" s="241">
        <f>IF(AND(AB29/2&gt;Steuern!$D$6,AB29/2&lt;Steuern!$D$10),INT((Steuern!$H$8*(AB29/2-Steuern!$D$8)/10000+Steuern!$I$8)*(AB29/2-Steuern!$D$6)/10000),IF(AND(AB29/2&gt;Steuern!$F$8,AB29/2&lt;Steuern!$D$12),INT((Steuern!$H$10*(AB29/2-Steuern!$F$8)/10000+Steuern!$I$10)*(AB29/2-Steuern!$F$8)/10000+Steuern!$J$10),IF(AND(AB29/2&gt;Steuern!$F$10,AB29/2&lt;Steuern!$D$14),INT(AB29/2*Steuern!$H$12-Steuern!$I$12),IF(AB29/2&gt;Steuern!$F$12,INT(AB29/2*Steuern!$H$14-Steuern!$I$14),0))))*2</f>
        <v>34096</v>
      </c>
      <c r="AE29" s="241">
        <f t="shared" si="8"/>
        <v>10393.921542522188</v>
      </c>
      <c r="AF29" s="241">
        <f t="shared" si="9"/>
        <v>9082.5853634646464</v>
      </c>
      <c r="AG29" s="241">
        <f t="shared" si="10"/>
        <v>10524.011715888011</v>
      </c>
      <c r="AH29" s="241">
        <f t="shared" si="11"/>
        <v>12690.769934772808</v>
      </c>
      <c r="AI29" s="241">
        <f t="shared" si="12"/>
        <v>11379.433755715267</v>
      </c>
      <c r="AJ29" s="241">
        <f t="shared" si="13"/>
        <v>12820.860108138631</v>
      </c>
      <c r="AK29" s="248"/>
      <c r="AL29" s="241">
        <f>('Immobilie als Kapitalanlage'!$C$16+'Immobilie als Kapitalanlage'!$C$20+'Immobilie als Kapitalanlage'!$C$15)*(1-'Immobilie als Kapitalanlage'!$D$53)</f>
        <v>190858.5</v>
      </c>
      <c r="AM29" s="241">
        <f>AL29*'Immobilie als Kapitalanlage'!$D$52</f>
        <v>3817.17</v>
      </c>
      <c r="AN29" s="241">
        <f t="shared" si="14"/>
        <v>135251.73150054016</v>
      </c>
      <c r="AO29" s="241">
        <f>IF(AND(AN29&gt;Steuern!$D$6,AN29&lt;Steuern!$D$10),INT((Steuern!H24*(AN29-Steuern!$D$8)/10000+Steuern!$I$8)*(AN29-Steuern!$D$6)/10000),IF(AND(AN29&gt;Steuern!$F$8,AN29&lt;Steuern!$D$12),INT((Steuern!$H$10*(AN29-Steuern!$F$8)/10000+Steuern!$I$10)*(AN29-Steuern!$F$8)/10000+Steuern!$J$10),IF(AND(AN29&gt;Steuern!$F$10,AN29&lt;Steuern!$D$14),INT(AN29*Steuern!$H$12-Steuern!$I$12),IF(AN29&gt;Steuern!$F$12,INT(AN29*Steuern!$H$14-Steuern!$I$14),0))))</f>
        <v>46832</v>
      </c>
      <c r="AP29" s="241">
        <f>IF(AND(AN29/2&gt;Steuern!$D$6,AN29/2&lt;Steuern!$D$10),INT((Steuern!$H$8*(AN29/2-Steuern!$D$8)/10000+Steuern!$I$8)*(AN29/2-Steuern!$D$6)/10000),IF(AND(AN29/2&gt;Steuern!$F$8,AN29/2&lt;Steuern!$D$12),INT((Steuern!$H$10*(AN29/2-Steuern!$F$8)/10000+Steuern!$I$10)*(AN29/2-Steuern!$F$8)/10000+Steuern!$J$10),IF(AND(AN29/2&gt;Steuern!$F$10,AN29/2&lt;Steuern!$D$14),INT(AN29/2*Steuern!$H$12-Steuern!$I$12),IF(AN29/2&gt;Steuern!$F$12,INT(AN29/2*Steuern!$H$14-Steuern!$I$14),0))))*2</f>
        <v>36858</v>
      </c>
      <c r="AQ29" s="241">
        <f t="shared" si="15"/>
        <v>133940.39532148262</v>
      </c>
      <c r="AR29" s="241">
        <f>IF(AND(AQ29&gt;Steuern!$D$6,AQ29&lt;Steuern!$D$10),INT((Steuern!$H$8*(AQ29-Steuern!$D$6)/10000+Steuern!$I$8)*(AQ29-Steuern!$D$6)/10000),IF(AND(AQ29&gt;Steuern!$F$8,AQ29&lt;Steuern!$D$12),INT((Steuern!$H$10*(AQ29-Steuern!$F$8)/10000+Steuern!$I$10)*(AQ29-Steuern!$F$8)/10000+Steuern!$J$10),IF(AND(AQ29&gt;Steuern!$F$10,AQ29&lt;Steuern!$D$14),INT(AQ29*Steuern!$H$12-Steuern!$I$12),IF(AQ29&gt;Steuern!$F$12,INT(AQ29*Steuern!$H$14-Steuern!$I$14),0))))</f>
        <v>46281</v>
      </c>
      <c r="AS29" s="241">
        <f t="shared" si="16"/>
        <v>135381.821673906</v>
      </c>
      <c r="AT29" s="241">
        <f>IF(AND(AS29&gt;Steuern!$D$6,AS29&lt;Steuern!$D$10),INT((Steuern!$H$8*(AS29-Steuern!$D$6)/10000+Steuern!$I$8)*(AS29-Steuern!$D$6)/10000),IF(AND(AS29&gt;Steuern!$F$8,AS29&lt;Steuern!$D$12),INT((Steuern!$H$10*(AS29-Steuern!$F$8)/10000+Steuern!$I$10)*(AS29-Steuern!$F$8)/10000+Steuern!$J$10),IF(AND(AS29&gt;Steuern!$F$10,AS29&lt;Steuern!$D$14),INT(AS29*Steuern!$H$12-Steuern!$I$12),IF(AS29&gt;Steuern!$F$12,INT(AS29*Steuern!$H$14-Steuern!$I$14),0))))</f>
        <v>46887</v>
      </c>
      <c r="AU29" s="241">
        <f t="shared" si="17"/>
        <v>137548.57989279079</v>
      </c>
      <c r="AV29" s="241">
        <f>IF(AND(AU29&gt;Steuern!$D$6,AU29&lt;Steuern!$D$10),INT((Steuern!$H$8*(AU29-Steuern!$D$6)/10000+Steuern!$I$8)*(AU29-Steuern!$D$6)/10000),IF(AND(AU29&gt;Steuern!$F$8,AU29&lt;Steuern!$D$12),INT((Steuern!$H$10*(AU29-Steuern!$F$8)/10000+Steuern!$I$10)*(AU29-Steuern!$F$8)/10000+Steuern!$J$10),IF(AND(AU29&gt;Steuern!$F$10,AU29&lt;Steuern!$D$14),INT(AU29*Steuern!$H$12-Steuern!$I$12),IF(AU29&gt;Steuern!$F$12,INT(AU29*Steuern!$H$14-Steuern!$I$14),0))))</f>
        <v>47797</v>
      </c>
      <c r="AW29" s="241">
        <f>IF(AND(AU29/2&gt;Steuern!$D$6,AU29/2&lt;Steuern!$D$10),INT((Steuern!$H$8*(AU29/2-Steuern!$D$8)/10000+Steuern!$I$8)*(AU29/2-Steuern!$D$6)/10000),IF(AND(AU29/2&gt;Steuern!$F$8,AU29/2&lt;Steuern!$D$12),INT((Steuern!$H$10*(AU29/2-Steuern!$F$8)/10000+Steuern!$I$10)*(AU29/2-Steuern!$F$8)/10000+Steuern!$J$10),IF(AND(AU29/2&gt;Steuern!$F$10,AU29/2&lt;Steuern!$D$14),INT(AU29/2*Steuern!$H$12-Steuern!$I$12),IF(AU29/2&gt;Steuern!$F$12,INT(AU29/2*Steuern!$H$14-Steuern!$I$14),0))))*2</f>
        <v>37824</v>
      </c>
      <c r="AX29" s="241">
        <f t="shared" si="18"/>
        <v>136237.24371373325</v>
      </c>
      <c r="AY29" s="241">
        <f>IF(AND(AX29&gt;Steuern!$D$6,AX29&lt;Steuern!$D$10),INT((Steuern!N24*(AX29-Steuern!$D$8)/10000+Steuern!$I$8)*(AX29-Steuern!$D$6)/10000),IF(AND(AX29&gt;Steuern!$F$8,AX29&lt;Steuern!$D$12),INT((Steuern!$H$10*(AX29-Steuern!$F$8)/10000+Steuern!$I$10)*(AX29-Steuern!$F$8)/10000+Steuern!$J$10),IF(AND(AX29&gt;Steuern!$F$10,AX29&lt;Steuern!$D$14),INT(AX29*Steuern!$H$12-Steuern!$I$12),IF(AX29&gt;Steuern!$F$12,INT(AX29*Steuern!$H$14-Steuern!$I$14),0))))</f>
        <v>47246</v>
      </c>
      <c r="AZ29" s="241">
        <f t="shared" si="19"/>
        <v>137678.67006615663</v>
      </c>
      <c r="BA29" s="241">
        <f>IF(AND(AZ29&gt;Steuern!$D$6,AZ29&lt;Steuern!$D$10),INT((Steuern!P24*(AZ29-Steuern!$D$8)/10000+Steuern!$I$8)*(AZ29-Steuern!$D$6)/10000),IF(AND(AZ29&gt;Steuern!$F$8,AZ29&lt;Steuern!$D$12),INT((Steuern!$H$10*(AZ29-Steuern!$F$8)/10000+Steuern!$I$10)*(AZ29-Steuern!$F$8)/10000+Steuern!$J$10),IF(AND(AZ29&gt;Steuern!$F$10,AZ29&lt;Steuern!$D$14),INT(AZ29*Steuern!$H$12-Steuern!$I$12),IF(AZ29&gt;Steuern!$F$12,INT(AZ29*Steuern!$H$14-Steuern!$I$14),0))))</f>
        <v>47852</v>
      </c>
      <c r="BB29" s="241">
        <f t="shared" ref="BB29:BC29" si="135">AC29-AO29</f>
        <v>-2762</v>
      </c>
      <c r="BC29" s="241">
        <f t="shared" si="135"/>
        <v>-2762</v>
      </c>
      <c r="BD29" s="241">
        <f t="shared" si="21"/>
        <v>-2211</v>
      </c>
      <c r="BE29" s="241">
        <f t="shared" si="22"/>
        <v>-2817</v>
      </c>
      <c r="BF29" s="241">
        <f t="shared" ref="BF29:BG29" si="136">AC29-AV29</f>
        <v>-3727</v>
      </c>
      <c r="BG29" s="241">
        <f t="shared" si="136"/>
        <v>-3728</v>
      </c>
      <c r="BH29" s="241">
        <f t="shared" si="24"/>
        <v>-3176</v>
      </c>
      <c r="BI29" s="241">
        <f t="shared" si="25"/>
        <v>-3782</v>
      </c>
      <c r="BJ29" s="241">
        <f t="shared" si="26"/>
        <v>-2133.4750370670499</v>
      </c>
      <c r="BK29" s="241">
        <f t="shared" si="27"/>
        <v>-2133.4750370670499</v>
      </c>
      <c r="BL29" s="241">
        <f t="shared" si="28"/>
        <v>-1393.8729035101969</v>
      </c>
      <c r="BM29" s="241">
        <f t="shared" si="29"/>
        <v>-265.83337652572664</v>
      </c>
      <c r="BN29" s="241">
        <f t="shared" si="30"/>
        <v>-2133.4750370670499</v>
      </c>
      <c r="BO29" s="241">
        <f t="shared" si="31"/>
        <v>-83833.226890419421</v>
      </c>
      <c r="BP29" s="241">
        <f t="shared" si="32"/>
        <v>-2133.4750370670499</v>
      </c>
      <c r="BQ29" s="241">
        <f t="shared" si="33"/>
        <v>-85126.226890419421</v>
      </c>
      <c r="BR29" s="241">
        <f t="shared" si="34"/>
        <v>-1393.8729035101969</v>
      </c>
      <c r="BS29" s="241">
        <f t="shared" si="35"/>
        <v>-73586.194887066653</v>
      </c>
      <c r="BT29" s="241">
        <f t="shared" si="36"/>
        <v>-265.83337652572664</v>
      </c>
      <c r="BU29" s="241">
        <f t="shared" si="37"/>
        <v>-66756.810285006184</v>
      </c>
      <c r="BV29" s="241">
        <f t="shared" si="38"/>
        <v>-801.62664481642969</v>
      </c>
      <c r="BW29" s="241">
        <f t="shared" si="39"/>
        <v>-802.62664481642969</v>
      </c>
      <c r="BX29" s="241">
        <f t="shared" si="40"/>
        <v>-62.024511259576684</v>
      </c>
      <c r="BY29" s="241">
        <f t="shared" si="41"/>
        <v>1066.0150157248936</v>
      </c>
      <c r="BZ29" s="241">
        <f t="shared" si="42"/>
        <v>-801.62664481642969</v>
      </c>
      <c r="CA29" s="241">
        <f t="shared" si="43"/>
        <v>-57306.958885637774</v>
      </c>
      <c r="CB29" s="241">
        <f t="shared" si="44"/>
        <v>-802.62664481642969</v>
      </c>
      <c r="CC29" s="241">
        <f t="shared" si="45"/>
        <v>-56838.958885637774</v>
      </c>
      <c r="CD29" s="241">
        <f t="shared" si="46"/>
        <v>-62.024511259576684</v>
      </c>
      <c r="CE29" s="241">
        <f t="shared" si="47"/>
        <v>-47055.926882284984</v>
      </c>
      <c r="CF29" s="241">
        <f t="shared" si="48"/>
        <v>1066.0150157248936</v>
      </c>
      <c r="CG29" s="241">
        <f t="shared" si="49"/>
        <v>-40226.542280224552</v>
      </c>
      <c r="CH29" s="248"/>
      <c r="CI29" s="249">
        <f t="shared" ca="1" si="64"/>
        <v>54667</v>
      </c>
      <c r="CJ29" s="241">
        <f t="shared" si="50"/>
        <v>-2133.4750370670499</v>
      </c>
      <c r="CK29" s="138"/>
      <c r="CL29" s="248"/>
      <c r="CM29" s="241">
        <f t="shared" si="53"/>
        <v>-2133.4750370670499</v>
      </c>
      <c r="CN29" s="241">
        <f t="shared" si="54"/>
        <v>-2133.4750370670499</v>
      </c>
      <c r="CO29" s="248"/>
      <c r="CP29" s="248"/>
      <c r="CQ29" s="241"/>
      <c r="CR29" s="241"/>
      <c r="CS29" s="248"/>
      <c r="CT29" s="248"/>
      <c r="CU29" s="241"/>
      <c r="CV29" s="241"/>
      <c r="CW29" s="248"/>
      <c r="CX29" s="248"/>
      <c r="CY29" s="241"/>
      <c r="CZ29" s="241"/>
      <c r="DA29" s="241">
        <f t="shared" si="55"/>
        <v>-801.62664481642969</v>
      </c>
      <c r="DB29" s="248"/>
      <c r="DC29" s="248"/>
      <c r="DD29" s="241">
        <f t="shared" si="58"/>
        <v>-801.62664481642969</v>
      </c>
      <c r="DE29" s="241">
        <f t="shared" si="59"/>
        <v>-801.62664481642969</v>
      </c>
      <c r="DF29" s="248"/>
      <c r="DG29" s="248"/>
      <c r="DH29" s="241"/>
      <c r="DI29" s="241"/>
      <c r="DJ29" s="248"/>
      <c r="DK29" s="248"/>
      <c r="DL29" s="241"/>
      <c r="DM29" s="241"/>
      <c r="DN29" s="248"/>
      <c r="DO29" s="248"/>
      <c r="DP29" s="241"/>
      <c r="DQ29" s="241"/>
      <c r="DR29" s="241"/>
      <c r="DS29" s="241">
        <f t="shared" si="3"/>
        <v>-801.62664481642969</v>
      </c>
    </row>
    <row r="30" spans="1:123" ht="15.75" customHeight="1">
      <c r="A30" s="243">
        <v>26</v>
      </c>
      <c r="B30" s="244">
        <f>B29*(1+'Immobilie als Kapitalanlage'!$D$47)</f>
        <v>322518.82242688409</v>
      </c>
      <c r="C30" s="241">
        <f>$C$4*(1+'Immobilie als Kapitalanlage'!$D$47)^A30</f>
        <v>0</v>
      </c>
      <c r="D30" s="244">
        <f t="shared" si="69"/>
        <v>322518.82242688409</v>
      </c>
      <c r="E30" s="138"/>
      <c r="F30" s="245">
        <f>MAX(-FV('Immobilie als Kapitalanlage'!$D$26/12,A30*12,(-I30/12),'Immobilie als Kapitalanlage'!$C$25,0),0)</f>
        <v>90952.492673619068</v>
      </c>
      <c r="G30" s="245">
        <f>IF(I30-H30&gt;G29,F29*'Immobilie als Kapitalanlage'!$D$26,I30-H30)</f>
        <v>3356.6524301693426</v>
      </c>
      <c r="H30" s="241">
        <f t="shared" si="4"/>
        <v>9093.3475698306574</v>
      </c>
      <c r="I30" s="241">
        <f>$F$4*('Immobilie als Kapitalanlage'!$D$26+'Immobilie als Kapitalanlage'!$D$36)</f>
        <v>12450</v>
      </c>
      <c r="J30" s="245">
        <f>MAX((-FV('Immobilie als Kapitalanlage'!$C$85/12,(A30-$A$14)*12,(-M30/12),$J$14,0)),0)</f>
        <v>112961.85487542668</v>
      </c>
      <c r="K30" s="241">
        <f t="shared" si="98"/>
        <v>4683.6601651342044</v>
      </c>
      <c r="L30" s="241">
        <f t="shared" si="99"/>
        <v>7577.7377013089426</v>
      </c>
      <c r="M30" s="241">
        <f>$J$14*('Immobilie als Kapitalanlage'!$C$85+'Immobilie als Kapitalanlage'!$C$86)</f>
        <v>12261.397866443147</v>
      </c>
      <c r="N30" s="245">
        <f>MAX((-FV('Immobilie als Kapitalanlage'!$C$88/12,(A30-$A$19)*12,(-Q30/12),$N$19,0)),0)</f>
        <v>106958.76316919769</v>
      </c>
      <c r="O30" s="245">
        <f t="shared" si="115"/>
        <v>3326.3154916585499</v>
      </c>
      <c r="P30" s="241">
        <f t="shared" si="116"/>
        <v>7201.0428478001268</v>
      </c>
      <c r="Q30" s="241">
        <f>$N$19*('Immobilie als Kapitalanlage'!$C$88+'Immobilie als Kapitalanlage'!$C$89)</f>
        <v>10527.358339458677</v>
      </c>
      <c r="R30" s="250">
        <f t="shared" si="6"/>
        <v>-2390.0348127362181</v>
      </c>
      <c r="S30" s="250">
        <f>'Immobilie als Kapitalanlage'!$C$27*12*(1+'Immobilie als Kapitalanlage'!$D$44)^A29</f>
        <v>-401.62034744496577</v>
      </c>
      <c r="T30" s="250">
        <f>'Immobilie als Kapitalanlage'!$C$29*12*(1+'Immobilie als Kapitalanlage'!$D$44)^A29</f>
        <v>-1397.7963072839495</v>
      </c>
      <c r="U30" s="250">
        <f>'Immobilie als Kapitalanlage'!$C$30*12*(1+'Immobilie als Kapitalanlage'!$D$44)^A29</f>
        <v>-590.61815800730267</v>
      </c>
      <c r="V30" s="250">
        <f>'Immobilie als Kapitalanlage'!$C$28*12*(1+'Immobilie als Kapitalanlage'!$D$44)^A29</f>
        <v>-1004.0508686124144</v>
      </c>
      <c r="W30" s="241">
        <f>$W$5*(1+'Immobilie als Kapitalanlage'!$D$43)^A29</f>
        <v>16734.181143540241</v>
      </c>
      <c r="X30" s="241">
        <f>$X$5*(1+'Immobilie als Kapitalanlage'!$D$43)^A29</f>
        <v>19076.966503635871</v>
      </c>
      <c r="Y30" s="241">
        <f>-'Immobilie als Kapitalanlage'!$C$25*'Immobilie als Kapitalanlage'!$D$99</f>
        <v>0</v>
      </c>
      <c r="Z30" s="241">
        <f t="shared" si="7"/>
        <v>0</v>
      </c>
      <c r="AA30" s="241">
        <f>FV((((1+'Immobilie als Kapitalanlage'!$D$80)^(1/12)-1)),A30*12,Y30/12,-'Immobilie als Kapitalanlage'!$G$95,)</f>
        <v>0</v>
      </c>
      <c r="AB30" s="241">
        <f>$AB$5*(1+'Immobilie als Kapitalanlage'!$D$51)^A29</f>
        <v>131248.47955717836</v>
      </c>
      <c r="AC30" s="241">
        <f>IF(AND(AB30&gt;Steuern!$D$6,AB30&lt;Steuern!$D$10),INT((Steuern!$H$8*(AB30-Steuern!$D$6)/10000+Steuern!$I$8)*(AB30-Steuern!$D$6)/10000),IF(AND(AB30&gt;Steuern!$F$8,AB30&lt;Steuern!$D$12),INT((Steuern!$H$10*(AB30-Steuern!$F$8)/10000+Steuern!$I$10)*(AB30-Steuern!$F$8)/10000+Steuern!$J$10),IF(AND(AB30&gt;Steuern!$F$10,AB30&lt;Steuern!$D$14),INT(AB30*Steuern!$H$12-Steuern!$I$12),IF(AB30&gt;Steuern!$F$12,INT(AB30*Steuern!$H$14-Steuern!$I$14),0))))</f>
        <v>45151</v>
      </c>
      <c r="AD30" s="241">
        <f>IF(AND(AB30/2&gt;Steuern!$D$6,AB30/2&lt;Steuern!$D$10),INT((Steuern!$H$8*(AB30/2-Steuern!$D$8)/10000+Steuern!$I$8)*(AB30/2-Steuern!$D$6)/10000),IF(AND(AB30/2&gt;Steuern!$F$8,AB30/2&lt;Steuern!$D$12),INT((Steuern!$H$10*(AB30/2-Steuern!$F$8)/10000+Steuern!$I$10)*(AB30/2-Steuern!$F$8)/10000+Steuern!$J$10),IF(AND(AB30/2&gt;Steuern!$F$10,AB30/2&lt;Steuern!$D$14),INT(AB30/2*Steuern!$H$12-Steuern!$I$12),IF(AB30/2&gt;Steuern!$F$12,INT(AB30/2*Steuern!$H$14-Steuern!$I$14),0))))*2</f>
        <v>35178</v>
      </c>
      <c r="AE30" s="241">
        <f t="shared" si="8"/>
        <v>10987.493900634681</v>
      </c>
      <c r="AF30" s="241">
        <f t="shared" si="9"/>
        <v>9660.4861656698195</v>
      </c>
      <c r="AG30" s="241">
        <f t="shared" si="10"/>
        <v>11017.830839145474</v>
      </c>
      <c r="AH30" s="241">
        <f t="shared" si="11"/>
        <v>13330.279260730311</v>
      </c>
      <c r="AI30" s="241">
        <f t="shared" si="12"/>
        <v>12003.271525765449</v>
      </c>
      <c r="AJ30" s="241">
        <f t="shared" si="13"/>
        <v>13360.616199241103</v>
      </c>
      <c r="AK30" s="248"/>
      <c r="AL30" s="241">
        <f>('Immobilie als Kapitalanlage'!$C$16+'Immobilie als Kapitalanlage'!$C$20+'Immobilie als Kapitalanlage'!$C$15)*(1-'Immobilie als Kapitalanlage'!$D$53)</f>
        <v>190858.5</v>
      </c>
      <c r="AM30" s="241">
        <f>AL30*'Immobilie als Kapitalanlage'!$D$52</f>
        <v>3817.17</v>
      </c>
      <c r="AN30" s="241">
        <f t="shared" si="14"/>
        <v>138418.80345781302</v>
      </c>
      <c r="AO30" s="241">
        <f>IF(AND(AN30&gt;Steuern!$D$6,AN30&lt;Steuern!$D$10),INT((Steuern!H25*(AN30-Steuern!$D$8)/10000+Steuern!$I$8)*(AN30-Steuern!$D$6)/10000),IF(AND(AN30&gt;Steuern!$F$8,AN30&lt;Steuern!$D$12),INT((Steuern!$H$10*(AN30-Steuern!$F$8)/10000+Steuern!$I$10)*(AN30-Steuern!$F$8)/10000+Steuern!$J$10),IF(AND(AN30&gt;Steuern!$F$10,AN30&lt;Steuern!$D$14),INT(AN30*Steuern!$H$12-Steuern!$I$12),IF(AN30&gt;Steuern!$F$12,INT(AN30*Steuern!$H$14-Steuern!$I$14),0))))</f>
        <v>48162</v>
      </c>
      <c r="AP30" s="241">
        <f>IF(AND(AN30/2&gt;Steuern!$D$6,AN30/2&lt;Steuern!$D$10),INT((Steuern!$H$8*(AN30/2-Steuern!$D$8)/10000+Steuern!$I$8)*(AN30/2-Steuern!$D$6)/10000),IF(AND(AN30/2&gt;Steuern!$F$8,AN30/2&lt;Steuern!$D$12),INT((Steuern!$H$10*(AN30/2-Steuern!$F$8)/10000+Steuern!$I$10)*(AN30/2-Steuern!$F$8)/10000+Steuern!$J$10),IF(AND(AN30/2&gt;Steuern!$F$10,AN30/2&lt;Steuern!$D$14),INT(AN30/2*Steuern!$H$12-Steuern!$I$12),IF(AN30/2&gt;Steuern!$F$12,INT(AN30/2*Steuern!$H$14-Steuern!$I$14),0))))*2</f>
        <v>38188</v>
      </c>
      <c r="AQ30" s="241">
        <f t="shared" si="15"/>
        <v>137091.79572284818</v>
      </c>
      <c r="AR30" s="241">
        <f>IF(AND(AQ30&gt;Steuern!$D$6,AQ30&lt;Steuern!$D$10),INT((Steuern!$H$8*(AQ30-Steuern!$D$6)/10000+Steuern!$I$8)*(AQ30-Steuern!$D$6)/10000),IF(AND(AQ30&gt;Steuern!$F$8,AQ30&lt;Steuern!$D$12),INT((Steuern!$H$10*(AQ30-Steuern!$F$8)/10000+Steuern!$I$10)*(AQ30-Steuern!$F$8)/10000+Steuern!$J$10),IF(AND(AQ30&gt;Steuern!$F$10,AQ30&lt;Steuern!$D$14),INT(AQ30*Steuern!$H$12-Steuern!$I$12),IF(AQ30&gt;Steuern!$F$12,INT(AQ30*Steuern!$H$14-Steuern!$I$14),0))))</f>
        <v>47605</v>
      </c>
      <c r="AS30" s="241">
        <f t="shared" si="16"/>
        <v>138449.14039632381</v>
      </c>
      <c r="AT30" s="241">
        <f>IF(AND(AS30&gt;Steuern!$D$6,AS30&lt;Steuern!$D$10),INT((Steuern!$H$8*(AS30-Steuern!$D$6)/10000+Steuern!$I$8)*(AS30-Steuern!$D$6)/10000),IF(AND(AS30&gt;Steuern!$F$8,AS30&lt;Steuern!$D$12),INT((Steuern!$H$10*(AS30-Steuern!$F$8)/10000+Steuern!$I$10)*(AS30-Steuern!$F$8)/10000+Steuern!$J$10),IF(AND(AS30&gt;Steuern!$F$10,AS30&lt;Steuern!$D$14),INT(AS30*Steuern!$H$12-Steuern!$I$12),IF(AS30&gt;Steuern!$F$12,INT(AS30*Steuern!$H$14-Steuern!$I$14),0))))</f>
        <v>48175</v>
      </c>
      <c r="AU30" s="241">
        <f t="shared" si="17"/>
        <v>140761.58881790866</v>
      </c>
      <c r="AV30" s="241">
        <f>IF(AND(AU30&gt;Steuern!$D$6,AU30&lt;Steuern!$D$10),INT((Steuern!$H$8*(AU30-Steuern!$D$6)/10000+Steuern!$I$8)*(AU30-Steuern!$D$6)/10000),IF(AND(AU30&gt;Steuern!$F$8,AU30&lt;Steuern!$D$12),INT((Steuern!$H$10*(AU30-Steuern!$F$8)/10000+Steuern!$I$10)*(AU30-Steuern!$F$8)/10000+Steuern!$J$10),IF(AND(AU30&gt;Steuern!$F$10,AU30&lt;Steuern!$D$14),INT(AU30*Steuern!$H$12-Steuern!$I$12),IF(AU30&gt;Steuern!$F$12,INT(AU30*Steuern!$H$14-Steuern!$I$14),0))))</f>
        <v>49146</v>
      </c>
      <c r="AW30" s="241">
        <f>IF(AND(AU30/2&gt;Steuern!$D$6,AU30/2&lt;Steuern!$D$10),INT((Steuern!$H$8*(AU30/2-Steuern!$D$8)/10000+Steuern!$I$8)*(AU30/2-Steuern!$D$6)/10000),IF(AND(AU30/2&gt;Steuern!$F$8,AU30/2&lt;Steuern!$D$12),INT((Steuern!$H$10*(AU30/2-Steuern!$F$8)/10000+Steuern!$I$10)*(AU30/2-Steuern!$F$8)/10000+Steuern!$J$10),IF(AND(AU30/2&gt;Steuern!$F$10,AU30/2&lt;Steuern!$D$14),INT(AU30/2*Steuern!$H$12-Steuern!$I$12),IF(AU30/2&gt;Steuern!$F$12,INT(AU30/2*Steuern!$H$14-Steuern!$I$14),0))))*2</f>
        <v>39172</v>
      </c>
      <c r="AX30" s="241">
        <f t="shared" si="18"/>
        <v>139434.5810829438</v>
      </c>
      <c r="AY30" s="241">
        <f>IF(AND(AX30&gt;Steuern!$D$6,AX30&lt;Steuern!$D$10),INT((Steuern!N25*(AX30-Steuern!$D$8)/10000+Steuern!$I$8)*(AX30-Steuern!$D$6)/10000),IF(AND(AX30&gt;Steuern!$F$8,AX30&lt;Steuern!$D$12),INT((Steuern!$H$10*(AX30-Steuern!$F$8)/10000+Steuern!$I$10)*(AX30-Steuern!$F$8)/10000+Steuern!$J$10),IF(AND(AX30&gt;Steuern!$F$10,AX30&lt;Steuern!$D$14),INT(AX30*Steuern!$H$12-Steuern!$I$12),IF(AX30&gt;Steuern!$F$12,INT(AX30*Steuern!$H$14-Steuern!$I$14),0))))</f>
        <v>48589</v>
      </c>
      <c r="AZ30" s="241">
        <f t="shared" si="19"/>
        <v>140791.92575641946</v>
      </c>
      <c r="BA30" s="241">
        <f>IF(AND(AZ30&gt;Steuern!$D$6,AZ30&lt;Steuern!$D$10),INT((Steuern!P25*(AZ30-Steuern!$D$8)/10000+Steuern!$I$8)*(AZ30-Steuern!$D$6)/10000),IF(AND(AZ30&gt;Steuern!$F$8,AZ30&lt;Steuern!$D$12),INT((Steuern!$H$10*(AZ30-Steuern!$F$8)/10000+Steuern!$I$10)*(AZ30-Steuern!$F$8)/10000+Steuern!$J$10),IF(AND(AZ30&gt;Steuern!$F$10,AZ30&lt;Steuern!$D$14),INT(AZ30*Steuern!$H$12-Steuern!$I$12),IF(AZ30&gt;Steuern!$F$12,INT(AZ30*Steuern!$H$14-Steuern!$I$14),0))))</f>
        <v>49159</v>
      </c>
      <c r="BB30" s="241">
        <f t="shared" ref="BB30:BC30" si="137">AC30-AO30</f>
        <v>-3011</v>
      </c>
      <c r="BC30" s="241">
        <f t="shared" si="137"/>
        <v>-3010</v>
      </c>
      <c r="BD30" s="241">
        <f t="shared" si="21"/>
        <v>-2454</v>
      </c>
      <c r="BE30" s="241">
        <f t="shared" si="22"/>
        <v>-3024</v>
      </c>
      <c r="BF30" s="241">
        <f t="shared" ref="BF30:BG30" si="138">AC30-AV30</f>
        <v>-3995</v>
      </c>
      <c r="BG30" s="241">
        <f t="shared" si="138"/>
        <v>-3994</v>
      </c>
      <c r="BH30" s="241">
        <f t="shared" si="24"/>
        <v>-3438</v>
      </c>
      <c r="BI30" s="241">
        <f t="shared" si="25"/>
        <v>-4008</v>
      </c>
      <c r="BJ30" s="241">
        <f t="shared" si="26"/>
        <v>-2120.9045378083902</v>
      </c>
      <c r="BK30" s="241">
        <f t="shared" si="27"/>
        <v>-2119.9045378083902</v>
      </c>
      <c r="BL30" s="241">
        <f t="shared" si="28"/>
        <v>-1375.3024042515372</v>
      </c>
      <c r="BM30" s="241">
        <f t="shared" si="29"/>
        <v>-211.26287726706687</v>
      </c>
      <c r="BN30" s="241">
        <f t="shared" si="30"/>
        <v>-2120.9045378083902</v>
      </c>
      <c r="BO30" s="241">
        <f t="shared" si="31"/>
        <v>-85954.131428227818</v>
      </c>
      <c r="BP30" s="241">
        <f t="shared" si="32"/>
        <v>-2119.9045378083902</v>
      </c>
      <c r="BQ30" s="241">
        <f t="shared" si="33"/>
        <v>-87246.131428227818</v>
      </c>
      <c r="BR30" s="241">
        <f t="shared" si="34"/>
        <v>-1375.3024042515372</v>
      </c>
      <c r="BS30" s="241">
        <f t="shared" si="35"/>
        <v>-74961.497291318185</v>
      </c>
      <c r="BT30" s="241">
        <f t="shared" si="36"/>
        <v>-211.26287726706687</v>
      </c>
      <c r="BU30" s="241">
        <f t="shared" si="37"/>
        <v>-66968.073162273256</v>
      </c>
      <c r="BV30" s="241">
        <f t="shared" si="38"/>
        <v>-762.11917771276057</v>
      </c>
      <c r="BW30" s="241">
        <f t="shared" si="39"/>
        <v>-761.11917771276057</v>
      </c>
      <c r="BX30" s="241">
        <f t="shared" si="40"/>
        <v>-16.51704415590757</v>
      </c>
      <c r="BY30" s="241">
        <f t="shared" si="41"/>
        <v>1147.5224828285627</v>
      </c>
      <c r="BZ30" s="241">
        <f t="shared" si="42"/>
        <v>-762.11917771276057</v>
      </c>
      <c r="CA30" s="241">
        <f t="shared" si="43"/>
        <v>-58069.078063350535</v>
      </c>
      <c r="CB30" s="241">
        <f t="shared" si="44"/>
        <v>-761.11917771276057</v>
      </c>
      <c r="CC30" s="241">
        <f t="shared" si="45"/>
        <v>-57600.078063350535</v>
      </c>
      <c r="CD30" s="241">
        <f t="shared" si="46"/>
        <v>-16.51704415590757</v>
      </c>
      <c r="CE30" s="241">
        <f t="shared" si="47"/>
        <v>-47072.443926440894</v>
      </c>
      <c r="CF30" s="241">
        <f t="shared" si="48"/>
        <v>1147.5224828285627</v>
      </c>
      <c r="CG30" s="241">
        <f t="shared" si="49"/>
        <v>-39079.019797395988</v>
      </c>
      <c r="CH30" s="248"/>
      <c r="CI30" s="249">
        <f t="shared" ca="1" si="64"/>
        <v>55032</v>
      </c>
      <c r="CJ30" s="241">
        <f t="shared" si="50"/>
        <v>-2120.9045378083902</v>
      </c>
      <c r="CK30" s="257"/>
      <c r="CL30" s="248"/>
      <c r="CM30" s="241">
        <f t="shared" si="53"/>
        <v>-2120.9045378083902</v>
      </c>
      <c r="CN30" s="241">
        <f t="shared" si="54"/>
        <v>-2120.9045378083902</v>
      </c>
      <c r="CO30" s="257"/>
      <c r="CP30" s="248"/>
      <c r="CQ30" s="241"/>
      <c r="CR30" s="241"/>
      <c r="CS30" s="257"/>
      <c r="CT30" s="248"/>
      <c r="CU30" s="241"/>
      <c r="CV30" s="241"/>
      <c r="CW30" s="257"/>
      <c r="CX30" s="248"/>
      <c r="CY30" s="241"/>
      <c r="CZ30" s="241"/>
      <c r="DA30" s="241">
        <f t="shared" si="55"/>
        <v>-762.11917771276057</v>
      </c>
      <c r="DB30" s="257"/>
      <c r="DC30" s="248"/>
      <c r="DD30" s="241">
        <f t="shared" si="58"/>
        <v>-762.11917771276057</v>
      </c>
      <c r="DE30" s="241">
        <f t="shared" si="59"/>
        <v>-762.11917771276057</v>
      </c>
      <c r="DF30" s="257"/>
      <c r="DG30" s="248"/>
      <c r="DH30" s="241"/>
      <c r="DI30" s="241"/>
      <c r="DJ30" s="257"/>
      <c r="DK30" s="248"/>
      <c r="DL30" s="241"/>
      <c r="DM30" s="241"/>
      <c r="DN30" s="257"/>
      <c r="DO30" s="248"/>
      <c r="DP30" s="241"/>
      <c r="DQ30" s="241"/>
      <c r="DR30" s="241"/>
      <c r="DS30" s="241">
        <f t="shared" si="3"/>
        <v>-762.11917771276057</v>
      </c>
    </row>
    <row r="31" spans="1:123" ht="15.75" customHeight="1">
      <c r="A31" s="243">
        <v>27</v>
      </c>
      <c r="B31" s="244">
        <f>B30*(1+'Immobilie als Kapitalanlage'!$D$47)</f>
        <v>325744.01065115293</v>
      </c>
      <c r="C31" s="241">
        <f>$C$4*(1+'Immobilie als Kapitalanlage'!$D$47)^A31</f>
        <v>0</v>
      </c>
      <c r="D31" s="244">
        <f t="shared" si="69"/>
        <v>325744.01065115293</v>
      </c>
      <c r="E31" s="138"/>
      <c r="F31" s="245">
        <f>MAX(-FV('Immobilie als Kapitalanlage'!$D$26/12,A31*12,(-I31/12),'Immobilie als Kapitalanlage'!$C$25,0),0)</f>
        <v>81535.722438650904</v>
      </c>
      <c r="G31" s="245">
        <f>IF(I31-H31&gt;G30,F30*'Immobilie als Kapitalanlage'!$D$26,I31-H31)</f>
        <v>3033.229765031836</v>
      </c>
      <c r="H31" s="241">
        <f t="shared" si="4"/>
        <v>9416.770234968164</v>
      </c>
      <c r="I31" s="241">
        <f>$F$4*('Immobilie als Kapitalanlage'!$D$26+'Immobilie als Kapitalanlage'!$D$36)</f>
        <v>12450</v>
      </c>
      <c r="J31" s="245">
        <f>MAX((-FV('Immobilie als Kapitalanlage'!$C$85/12,(A31-$A$14)*12,(-M31/12),$J$14,0)),0)</f>
        <v>105075.38844832493</v>
      </c>
      <c r="K31" s="241">
        <f t="shared" si="98"/>
        <v>4374.9314393413933</v>
      </c>
      <c r="L31" s="241">
        <f t="shared" si="99"/>
        <v>7886.4664271017537</v>
      </c>
      <c r="M31" s="241">
        <f>$J$14*('Immobilie als Kapitalanlage'!$C$85+'Immobilie als Kapitalanlage'!$C$86)</f>
        <v>12261.397866443147</v>
      </c>
      <c r="N31" s="245">
        <f>MAX((-FV('Immobilie als Kapitalanlage'!$C$88/12,(A31-$A$19)*12,(-Q31/12),$N$19,0)),0)</f>
        <v>99538.693712406559</v>
      </c>
      <c r="O31" s="245">
        <f t="shared" si="115"/>
        <v>3107.2888826675498</v>
      </c>
      <c r="P31" s="241">
        <f t="shared" si="116"/>
        <v>7420.0694567911269</v>
      </c>
      <c r="Q31" s="241">
        <f>$N$19*('Immobilie als Kapitalanlage'!$C$88+'Immobilie als Kapitalanlage'!$C$89)</f>
        <v>10527.358339458677</v>
      </c>
      <c r="R31" s="250">
        <f t="shared" si="6"/>
        <v>-2437.8355089909423</v>
      </c>
      <c r="S31" s="250">
        <f>'Immobilie als Kapitalanlage'!$C$27*12*(1+'Immobilie als Kapitalanlage'!$D$44)^A30</f>
        <v>-409.65275439386511</v>
      </c>
      <c r="T31" s="250">
        <f>'Immobilie als Kapitalanlage'!$C$29*12*(1+'Immobilie als Kapitalanlage'!$D$44)^A30</f>
        <v>-1425.7522334296286</v>
      </c>
      <c r="U31" s="250">
        <f>'Immobilie als Kapitalanlage'!$C$30*12*(1+'Immobilie als Kapitalanlage'!$D$44)^A30</f>
        <v>-602.43052116744877</v>
      </c>
      <c r="V31" s="250">
        <f>'Immobilie als Kapitalanlage'!$C$28*12*(1+'Immobilie als Kapitalanlage'!$D$44)^A30</f>
        <v>-1024.1318859846629</v>
      </c>
      <c r="W31" s="241">
        <f>$W$5*(1+'Immobilie als Kapitalanlage'!$D$43)^A30</f>
        <v>17068.864766411047</v>
      </c>
      <c r="X31" s="241">
        <f>$X$5*(1+'Immobilie als Kapitalanlage'!$D$43)^A30</f>
        <v>19458.50583370859</v>
      </c>
      <c r="Y31" s="241">
        <f>-'Immobilie als Kapitalanlage'!$C$25*'Immobilie als Kapitalanlage'!$D$99</f>
        <v>0</v>
      </c>
      <c r="Z31" s="241">
        <f t="shared" si="7"/>
        <v>0</v>
      </c>
      <c r="AA31" s="241">
        <f>FV((((1+'Immobilie als Kapitalanlage'!$D$80)^(1/12)-1)),A31*12,Y31/12,-'Immobilie als Kapitalanlage'!$G$95,)</f>
        <v>0</v>
      </c>
      <c r="AB31" s="241">
        <f>$AB$5*(1+'Immobilie als Kapitalanlage'!$D$51)^A30</f>
        <v>133873.44914832193</v>
      </c>
      <c r="AC31" s="241">
        <f>IF(AND(AB31&gt;Steuern!$D$6,AB31&lt;Steuern!$D$10),INT((Steuern!$H$8*(AB31-Steuern!$D$6)/10000+Steuern!$I$8)*(AB31-Steuern!$D$6)/10000),IF(AND(AB31&gt;Steuern!$F$8,AB31&lt;Steuern!$D$12),INT((Steuern!$H$10*(AB31-Steuern!$F$8)/10000+Steuern!$I$10)*(AB31-Steuern!$F$8)/10000+Steuern!$J$10),IF(AND(AB31&gt;Steuern!$F$10,AB31&lt;Steuern!$D$14),INT(AB31*Steuern!$H$12-Steuern!$I$12),IF(AB31&gt;Steuern!$F$12,INT(AB31*Steuern!$H$14-Steuern!$I$14),0))))</f>
        <v>46253</v>
      </c>
      <c r="AD31" s="241">
        <f>IF(AND(AB31/2&gt;Steuern!$D$6,AB31/2&lt;Steuern!$D$10),INT((Steuern!$H$8*(AB31/2-Steuern!$D$8)/10000+Steuern!$I$8)*(AB31/2-Steuern!$D$6)/10000),IF(AND(AB31/2&gt;Steuern!$F$8,AB31/2&lt;Steuern!$D$12),INT((Steuern!$H$10*(AB31/2-Steuern!$F$8)/10000+Steuern!$I$10)*(AB31/2-Steuern!$F$8)/10000+Steuern!$J$10),IF(AND(AB31/2&gt;Steuern!$F$10,AB31/2&lt;Steuern!$D$14),INT(AB31/2*Steuern!$H$12-Steuern!$I$12),IF(AB31/2&gt;Steuern!$F$12,INT(AB31/2*Steuern!$H$14-Steuern!$I$14),0))))*2</f>
        <v>36280</v>
      </c>
      <c r="AE31" s="241">
        <f t="shared" si="8"/>
        <v>11597.799492388269</v>
      </c>
      <c r="AF31" s="241">
        <f t="shared" si="9"/>
        <v>10256.097818078711</v>
      </c>
      <c r="AG31" s="241">
        <f t="shared" si="10"/>
        <v>11523.740374752555</v>
      </c>
      <c r="AH31" s="241">
        <f t="shared" si="11"/>
        <v>13987.440559685812</v>
      </c>
      <c r="AI31" s="241">
        <f t="shared" si="12"/>
        <v>12645.738885376255</v>
      </c>
      <c r="AJ31" s="241">
        <f t="shared" si="13"/>
        <v>13913.381442050098</v>
      </c>
      <c r="AK31" s="248"/>
      <c r="AL31" s="241">
        <f>('Immobilie als Kapitalanlage'!$C$16+'Immobilie als Kapitalanlage'!$C$20+'Immobilie als Kapitalanlage'!$C$15)*(1-'Immobilie als Kapitalanlage'!$D$53)</f>
        <v>190858.5</v>
      </c>
      <c r="AM31" s="241">
        <f>AL31*'Immobilie als Kapitalanlage'!$D$52</f>
        <v>3817.17</v>
      </c>
      <c r="AN31" s="241">
        <f t="shared" si="14"/>
        <v>141654.07864071018</v>
      </c>
      <c r="AO31" s="241">
        <f>IF(AND(AN31&gt;Steuern!$D$6,AN31&lt;Steuern!$D$10),INT((Steuern!H26*(AN31-Steuern!$D$8)/10000+Steuern!$I$8)*(AN31-Steuern!$D$6)/10000),IF(AND(AN31&gt;Steuern!$F$8,AN31&lt;Steuern!$D$12),INT((Steuern!$H$10*(AN31-Steuern!$F$8)/10000+Steuern!$I$10)*(AN31-Steuern!$F$8)/10000+Steuern!$J$10),IF(AND(AN31&gt;Steuern!$F$10,AN31&lt;Steuern!$D$14),INT(AN31*Steuern!$H$12-Steuern!$I$12),IF(AN31&gt;Steuern!$F$12,INT(AN31*Steuern!$H$14-Steuern!$I$14),0))))</f>
        <v>49521</v>
      </c>
      <c r="AP31" s="241">
        <f>IF(AND(AN31/2&gt;Steuern!$D$6,AN31/2&lt;Steuern!$D$10),INT((Steuern!$H$8*(AN31/2-Steuern!$D$8)/10000+Steuern!$I$8)*(AN31/2-Steuern!$D$6)/10000),IF(AND(AN31/2&gt;Steuern!$F$8,AN31/2&lt;Steuern!$D$12),INT((Steuern!$H$10*(AN31/2-Steuern!$F$8)/10000+Steuern!$I$10)*(AN31/2-Steuern!$F$8)/10000+Steuern!$J$10),IF(AND(AN31/2&gt;Steuern!$F$10,AN31/2&lt;Steuern!$D$14),INT(AN31/2*Steuern!$H$12-Steuern!$I$12),IF(AN31/2&gt;Steuern!$F$12,INT(AN31/2*Steuern!$H$14-Steuern!$I$14),0))))*2</f>
        <v>39548</v>
      </c>
      <c r="AQ31" s="241">
        <f t="shared" si="15"/>
        <v>140312.37696640062</v>
      </c>
      <c r="AR31" s="241">
        <f>IF(AND(AQ31&gt;Steuern!$D$6,AQ31&lt;Steuern!$D$10),INT((Steuern!$H$8*(AQ31-Steuern!$D$6)/10000+Steuern!$I$8)*(AQ31-Steuern!$D$6)/10000),IF(AND(AQ31&gt;Steuern!$F$8,AQ31&lt;Steuern!$D$12),INT((Steuern!$H$10*(AQ31-Steuern!$F$8)/10000+Steuern!$I$10)*(AQ31-Steuern!$F$8)/10000+Steuern!$J$10),IF(AND(AQ31&gt;Steuern!$F$10,AQ31&lt;Steuern!$D$14),INT(AQ31*Steuern!$H$12-Steuern!$I$12),IF(AQ31&gt;Steuern!$F$12,INT(AQ31*Steuern!$H$14-Steuern!$I$14),0))))</f>
        <v>48958</v>
      </c>
      <c r="AS31" s="241">
        <f t="shared" si="16"/>
        <v>141580.01952307447</v>
      </c>
      <c r="AT31" s="241">
        <f>IF(AND(AS31&gt;Steuern!$D$6,AS31&lt;Steuern!$D$10),INT((Steuern!$H$8*(AS31-Steuern!$D$6)/10000+Steuern!$I$8)*(AS31-Steuern!$D$6)/10000),IF(AND(AS31&gt;Steuern!$F$8,AS31&lt;Steuern!$D$12),INT((Steuern!$H$10*(AS31-Steuern!$F$8)/10000+Steuern!$I$10)*(AS31-Steuern!$F$8)/10000+Steuern!$J$10),IF(AND(AS31&gt;Steuern!$F$10,AS31&lt;Steuern!$D$14),INT(AS31*Steuern!$H$12-Steuern!$I$12),IF(AS31&gt;Steuern!$F$12,INT(AS31*Steuern!$H$14-Steuern!$I$14),0))))</f>
        <v>49490</v>
      </c>
      <c r="AU31" s="241">
        <f t="shared" si="17"/>
        <v>144043.71970800773</v>
      </c>
      <c r="AV31" s="241">
        <f>IF(AND(AU31&gt;Steuern!$D$6,AU31&lt;Steuern!$D$10),INT((Steuern!$H$8*(AU31-Steuern!$D$6)/10000+Steuern!$I$8)*(AU31-Steuern!$D$6)/10000),IF(AND(AU31&gt;Steuern!$F$8,AU31&lt;Steuern!$D$12),INT((Steuern!$H$10*(AU31-Steuern!$F$8)/10000+Steuern!$I$10)*(AU31-Steuern!$F$8)/10000+Steuern!$J$10),IF(AND(AU31&gt;Steuern!$F$10,AU31&lt;Steuern!$D$14),INT(AU31*Steuern!$H$12-Steuern!$I$12),IF(AU31&gt;Steuern!$F$12,INT(AU31*Steuern!$H$14-Steuern!$I$14),0))))</f>
        <v>50525</v>
      </c>
      <c r="AW31" s="241">
        <f>IF(AND(AU31/2&gt;Steuern!$D$6,AU31/2&lt;Steuern!$D$10),INT((Steuern!$H$8*(AU31/2-Steuern!$D$8)/10000+Steuern!$I$8)*(AU31/2-Steuern!$D$6)/10000),IF(AND(AU31/2&gt;Steuern!$F$8,AU31/2&lt;Steuern!$D$12),INT((Steuern!$H$10*(AU31/2-Steuern!$F$8)/10000+Steuern!$I$10)*(AU31/2-Steuern!$F$8)/10000+Steuern!$J$10),IF(AND(AU31/2&gt;Steuern!$F$10,AU31/2&lt;Steuern!$D$14),INT(AU31/2*Steuern!$H$12-Steuern!$I$12),IF(AU31/2&gt;Steuern!$F$12,INT(AU31/2*Steuern!$H$14-Steuern!$I$14),0))))*2</f>
        <v>40552</v>
      </c>
      <c r="AX31" s="241">
        <f t="shared" si="18"/>
        <v>142702.01803369817</v>
      </c>
      <c r="AY31" s="241">
        <f>IF(AND(AX31&gt;Steuern!$D$6,AX31&lt;Steuern!$D$10),INT((Steuern!N26*(AX31-Steuern!$D$8)/10000+Steuern!$I$8)*(AX31-Steuern!$D$6)/10000),IF(AND(AX31&gt;Steuern!$F$8,AX31&lt;Steuern!$D$12),INT((Steuern!$H$10*(AX31-Steuern!$F$8)/10000+Steuern!$I$10)*(AX31-Steuern!$F$8)/10000+Steuern!$J$10),IF(AND(AX31&gt;Steuern!$F$10,AX31&lt;Steuern!$D$14),INT(AX31*Steuern!$H$12-Steuern!$I$12),IF(AX31&gt;Steuern!$F$12,INT(AX31*Steuern!$H$14-Steuern!$I$14),0))))</f>
        <v>49961</v>
      </c>
      <c r="AZ31" s="241">
        <f t="shared" si="19"/>
        <v>143969.66059037202</v>
      </c>
      <c r="BA31" s="241">
        <f>IF(AND(AZ31&gt;Steuern!$D$6,AZ31&lt;Steuern!$D$10),INT((Steuern!P26*(AZ31-Steuern!$D$8)/10000+Steuern!$I$8)*(AZ31-Steuern!$D$6)/10000),IF(AND(AZ31&gt;Steuern!$F$8,AZ31&lt;Steuern!$D$12),INT((Steuern!$H$10*(AZ31-Steuern!$F$8)/10000+Steuern!$I$10)*(AZ31-Steuern!$F$8)/10000+Steuern!$J$10),IF(AND(AZ31&gt;Steuern!$F$10,AZ31&lt;Steuern!$D$14),INT(AZ31*Steuern!$H$12-Steuern!$I$12),IF(AZ31&gt;Steuern!$F$12,INT(AZ31*Steuern!$H$14-Steuern!$I$14),0))))</f>
        <v>50494</v>
      </c>
      <c r="BB31" s="241">
        <f t="shared" ref="BB31:BC31" si="139">AC31-AO31</f>
        <v>-3268</v>
      </c>
      <c r="BC31" s="241">
        <f t="shared" si="139"/>
        <v>-3268</v>
      </c>
      <c r="BD31" s="241">
        <f t="shared" si="21"/>
        <v>-2705</v>
      </c>
      <c r="BE31" s="241">
        <f t="shared" si="22"/>
        <v>-3237</v>
      </c>
      <c r="BF31" s="241">
        <f t="shared" ref="BF31:BG31" si="140">AC31-AV31</f>
        <v>-4272</v>
      </c>
      <c r="BG31" s="241">
        <f t="shared" si="140"/>
        <v>-4272</v>
      </c>
      <c r="BH31" s="241">
        <f t="shared" si="24"/>
        <v>-3708</v>
      </c>
      <c r="BI31" s="241">
        <f t="shared" si="25"/>
        <v>-4241</v>
      </c>
      <c r="BJ31" s="241">
        <f t="shared" si="26"/>
        <v>-2111.1026285645585</v>
      </c>
      <c r="BK31" s="241">
        <f t="shared" si="27"/>
        <v>-2111.1026285645585</v>
      </c>
      <c r="BL31" s="241">
        <f t="shared" si="28"/>
        <v>-1359.5004950077055</v>
      </c>
      <c r="BM31" s="241">
        <f t="shared" si="29"/>
        <v>-157.46096802323518</v>
      </c>
      <c r="BN31" s="241">
        <f t="shared" si="30"/>
        <v>-2111.1026285645585</v>
      </c>
      <c r="BO31" s="241">
        <f t="shared" si="31"/>
        <v>-88065.234056792382</v>
      </c>
      <c r="BP31" s="241">
        <f t="shared" si="32"/>
        <v>-2111.1026285645585</v>
      </c>
      <c r="BQ31" s="241">
        <f t="shared" si="33"/>
        <v>-89357.234056792382</v>
      </c>
      <c r="BR31" s="241">
        <f t="shared" si="34"/>
        <v>-1359.5004950077055</v>
      </c>
      <c r="BS31" s="241">
        <f t="shared" si="35"/>
        <v>-76320.997786325897</v>
      </c>
      <c r="BT31" s="241">
        <f t="shared" si="36"/>
        <v>-157.46096802323518</v>
      </c>
      <c r="BU31" s="241">
        <f t="shared" si="37"/>
        <v>-67125.534130296495</v>
      </c>
      <c r="BV31" s="241">
        <f t="shared" si="38"/>
        <v>-725.46156126701499</v>
      </c>
      <c r="BW31" s="241">
        <f t="shared" si="39"/>
        <v>-725.46156126701499</v>
      </c>
      <c r="BX31" s="241">
        <f t="shared" si="40"/>
        <v>27.140572289838019</v>
      </c>
      <c r="BY31" s="241">
        <f t="shared" si="41"/>
        <v>1228.1800992743083</v>
      </c>
      <c r="BZ31" s="241">
        <f t="shared" si="42"/>
        <v>-725.46156126701499</v>
      </c>
      <c r="CA31" s="241">
        <f t="shared" si="43"/>
        <v>-58794.539624617551</v>
      </c>
      <c r="CB31" s="241">
        <f t="shared" si="44"/>
        <v>-725.46156126701499</v>
      </c>
      <c r="CC31" s="241">
        <f t="shared" si="45"/>
        <v>-58325.539624617551</v>
      </c>
      <c r="CD31" s="241">
        <f t="shared" si="46"/>
        <v>27.140572289838019</v>
      </c>
      <c r="CE31" s="241">
        <f t="shared" si="47"/>
        <v>-47045.303354151052</v>
      </c>
      <c r="CF31" s="241">
        <f t="shared" si="48"/>
        <v>1228.1800992743083</v>
      </c>
      <c r="CG31" s="241">
        <f t="shared" si="49"/>
        <v>-37850.839698121679</v>
      </c>
      <c r="CH31" s="248"/>
      <c r="CI31" s="249">
        <f t="shared" ca="1" si="64"/>
        <v>55397</v>
      </c>
      <c r="CJ31" s="241">
        <f t="shared" si="50"/>
        <v>-2111.1026285645585</v>
      </c>
      <c r="CK31" s="257"/>
      <c r="CL31" s="248"/>
      <c r="CM31" s="241">
        <f t="shared" si="53"/>
        <v>-2111.1026285645585</v>
      </c>
      <c r="CN31" s="241">
        <f t="shared" si="54"/>
        <v>-2111.1026285645585</v>
      </c>
      <c r="CO31" s="257"/>
      <c r="CP31" s="248"/>
      <c r="CQ31" s="241"/>
      <c r="CR31" s="241"/>
      <c r="CS31" s="257"/>
      <c r="CT31" s="248"/>
      <c r="CU31" s="241"/>
      <c r="CV31" s="241"/>
      <c r="CW31" s="257"/>
      <c r="CX31" s="248"/>
      <c r="CY31" s="241"/>
      <c r="CZ31" s="241"/>
      <c r="DA31" s="241">
        <f t="shared" si="55"/>
        <v>-725.46156126701499</v>
      </c>
      <c r="DB31" s="257"/>
      <c r="DC31" s="248"/>
      <c r="DD31" s="241">
        <f t="shared" si="58"/>
        <v>-725.46156126701499</v>
      </c>
      <c r="DE31" s="241">
        <f t="shared" si="59"/>
        <v>-725.46156126701499</v>
      </c>
      <c r="DF31" s="257"/>
      <c r="DG31" s="248"/>
      <c r="DH31" s="241"/>
      <c r="DI31" s="241"/>
      <c r="DJ31" s="257"/>
      <c r="DK31" s="248"/>
      <c r="DL31" s="241"/>
      <c r="DM31" s="241"/>
      <c r="DN31" s="257"/>
      <c r="DO31" s="248"/>
      <c r="DP31" s="241"/>
      <c r="DQ31" s="241"/>
      <c r="DR31" s="241"/>
      <c r="DS31" s="241">
        <f t="shared" si="3"/>
        <v>-725.46156126701499</v>
      </c>
    </row>
    <row r="32" spans="1:123" ht="15.75" customHeight="1">
      <c r="A32" s="243">
        <v>28</v>
      </c>
      <c r="B32" s="244">
        <f>B31*(1+'Immobilie als Kapitalanlage'!$D$47)</f>
        <v>329001.45075766445</v>
      </c>
      <c r="C32" s="241">
        <f>$C$4*(1+'Immobilie als Kapitalanlage'!$D$47)^A32</f>
        <v>0</v>
      </c>
      <c r="D32" s="244">
        <f t="shared" si="69"/>
        <v>329001.45075766445</v>
      </c>
      <c r="E32" s="138"/>
      <c r="F32" s="245">
        <f>MAX(-FV('Immobilie als Kapitalanlage'!$D$26/12,A32*12,(-I32/12),'Immobilie als Kapitalanlage'!$C$25,0),0)</f>
        <v>71784.026379832649</v>
      </c>
      <c r="G32" s="245">
        <f>IF(I32-H32&gt;G31,F31*'Immobilie als Kapitalanlage'!$D$26,I32-H32)</f>
        <v>2698.3039411817444</v>
      </c>
      <c r="H32" s="241">
        <f t="shared" si="4"/>
        <v>9751.6960588182556</v>
      </c>
      <c r="I32" s="241">
        <f>$F$4*('Immobilie als Kapitalanlage'!$D$26+'Immobilie als Kapitalanlage'!$D$36)</f>
        <v>12450</v>
      </c>
      <c r="J32" s="245">
        <f>MAX((-FV('Immobilie als Kapitalanlage'!$C$85/12,(A32-$A$14)*12,(-M32/12),$J$14,0)),0)</f>
        <v>96867.615210797929</v>
      </c>
      <c r="K32" s="241">
        <f t="shared" si="98"/>
        <v>4053.6246289161481</v>
      </c>
      <c r="L32" s="241">
        <f t="shared" si="99"/>
        <v>8207.7732375269989</v>
      </c>
      <c r="M32" s="241">
        <f>$J$14*('Immobilie als Kapitalanlage'!$C$85+'Immobilie als Kapitalanlage'!$C$86)</f>
        <v>12261.397866443147</v>
      </c>
      <c r="N32" s="245">
        <f>MAX((-FV('Immobilie als Kapitalanlage'!$C$88/12,(A32-$A$19)*12,(-Q32/12),$N$19,0)),0)</f>
        <v>91892.935742722533</v>
      </c>
      <c r="O32" s="245">
        <f t="shared" si="115"/>
        <v>2881.600369774651</v>
      </c>
      <c r="P32" s="241">
        <f t="shared" si="116"/>
        <v>7645.7579696840257</v>
      </c>
      <c r="Q32" s="241">
        <f>$N$19*('Immobilie als Kapitalanlage'!$C$88+'Immobilie als Kapitalanlage'!$C$89)</f>
        <v>10527.358339458677</v>
      </c>
      <c r="R32" s="250">
        <f t="shared" si="6"/>
        <v>-2486.5922191707605</v>
      </c>
      <c r="S32" s="250">
        <f>'Immobilie als Kapitalanlage'!$C$27*12*(1+'Immobilie als Kapitalanlage'!$D$44)^A31</f>
        <v>-417.84580948174232</v>
      </c>
      <c r="T32" s="250">
        <f>'Immobilie als Kapitalanlage'!$C$29*12*(1+'Immobilie als Kapitalanlage'!$D$44)^A31</f>
        <v>-1454.2672780982209</v>
      </c>
      <c r="U32" s="250">
        <f>'Immobilie als Kapitalanlage'!$C$30*12*(1+'Immobilie als Kapitalanlage'!$D$44)^A31</f>
        <v>-614.47913159079758</v>
      </c>
      <c r="V32" s="250">
        <f>'Immobilie als Kapitalanlage'!$C$28*12*(1+'Immobilie als Kapitalanlage'!$D$44)^A31</f>
        <v>-1044.6145237043559</v>
      </c>
      <c r="W32" s="241">
        <f>$W$5*(1+'Immobilie als Kapitalanlage'!$D$43)^A31</f>
        <v>17410.242061739267</v>
      </c>
      <c r="X32" s="241">
        <f>$X$5*(1+'Immobilie als Kapitalanlage'!$D$43)^A31</f>
        <v>19847.67595038276</v>
      </c>
      <c r="Y32" s="241">
        <f>-'Immobilie als Kapitalanlage'!$C$25*'Immobilie als Kapitalanlage'!$D$99</f>
        <v>0</v>
      </c>
      <c r="Z32" s="241">
        <f t="shared" si="7"/>
        <v>0</v>
      </c>
      <c r="AA32" s="241">
        <f>FV((((1+'Immobilie als Kapitalanlage'!$D$80)^(1/12)-1)),A32*12,Y32/12,-'Immobilie als Kapitalanlage'!$G$95,)</f>
        <v>0</v>
      </c>
      <c r="AB32" s="241">
        <f>$AB$5*(1+'Immobilie als Kapitalanlage'!$D$51)^A31</f>
        <v>136550.91813128834</v>
      </c>
      <c r="AC32" s="241">
        <f>IF(AND(AB32&gt;Steuern!$D$6,AB32&lt;Steuern!$D$10),INT((Steuern!$H$8*(AB32-Steuern!$D$6)/10000+Steuern!$I$8)*(AB32-Steuern!$D$6)/10000),IF(AND(AB32&gt;Steuern!$F$8,AB32&lt;Steuern!$D$12),INT((Steuern!$H$10*(AB32-Steuern!$F$8)/10000+Steuern!$I$10)*(AB32-Steuern!$F$8)/10000+Steuern!$J$10),IF(AND(AB32&gt;Steuern!$F$10,AB32&lt;Steuern!$D$14),INT(AB32*Steuern!$H$12-Steuern!$I$12),IF(AB32&gt;Steuern!$F$12,INT(AB32*Steuern!$H$14-Steuern!$I$14),0))))</f>
        <v>47378</v>
      </c>
      <c r="AD32" s="241">
        <f>IF(AND(AB32/2&gt;Steuern!$D$6,AB32/2&lt;Steuern!$D$10),INT((Steuern!$H$8*(AB32/2-Steuern!$D$8)/10000+Steuern!$I$8)*(AB32/2-Steuern!$D$6)/10000),IF(AND(AB32/2&gt;Steuern!$F$8,AB32/2&lt;Steuern!$D$12),INT((Steuern!$H$10*(AB32/2-Steuern!$F$8)/10000+Steuern!$I$10)*(AB32/2-Steuern!$F$8)/10000+Steuern!$J$10),IF(AND(AB32/2&gt;Steuern!$F$10,AB32/2&lt;Steuern!$D$14),INT(AB32/2*Steuern!$H$12-Steuern!$I$12),IF(AB32/2&gt;Steuern!$F$12,INT(AB32/2*Steuern!$H$14-Steuern!$I$14),0))))*2</f>
        <v>37404</v>
      </c>
      <c r="AE32" s="241">
        <f t="shared" si="8"/>
        <v>12225.345901386761</v>
      </c>
      <c r="AF32" s="241">
        <f t="shared" si="9"/>
        <v>10870.02521365236</v>
      </c>
      <c r="AG32" s="241">
        <f t="shared" si="10"/>
        <v>12042.049472793857</v>
      </c>
      <c r="AH32" s="241">
        <f t="shared" si="11"/>
        <v>14662.779790030254</v>
      </c>
      <c r="AI32" s="241">
        <f t="shared" si="12"/>
        <v>13307.459102295852</v>
      </c>
      <c r="AJ32" s="241">
        <f t="shared" si="13"/>
        <v>14479.483361437349</v>
      </c>
      <c r="AK32" s="248"/>
      <c r="AL32" s="241">
        <f>('Immobilie als Kapitalanlage'!$C$16+'Immobilie als Kapitalanlage'!$C$20+'Immobilie als Kapitalanlage'!$C$15)*(1-'Immobilie als Kapitalanlage'!$D$53)</f>
        <v>190858.5</v>
      </c>
      <c r="AM32" s="241">
        <f>AL32*'Immobilie als Kapitalanlage'!$D$52</f>
        <v>3817.17</v>
      </c>
      <c r="AN32" s="241">
        <f t="shared" si="14"/>
        <v>144959.09403267509</v>
      </c>
      <c r="AO32" s="241">
        <f>IF(AND(AN32&gt;Steuern!$D$6,AN32&lt;Steuern!$D$10),INT((Steuern!H27*(AN32-Steuern!$D$8)/10000+Steuern!$I$8)*(AN32-Steuern!$D$6)/10000),IF(AND(AN32&gt;Steuern!$F$8,AN32&lt;Steuern!$D$12),INT((Steuern!$H$10*(AN32-Steuern!$F$8)/10000+Steuern!$I$10)*(AN32-Steuern!$F$8)/10000+Steuern!$J$10),IF(AND(AN32&gt;Steuern!$F$10,AN32&lt;Steuern!$D$14),INT(AN32*Steuern!$H$12-Steuern!$I$12),IF(AN32&gt;Steuern!$F$12,INT(AN32*Steuern!$H$14-Steuern!$I$14),0))))</f>
        <v>50909</v>
      </c>
      <c r="AP32" s="241">
        <f>IF(AND(AN32/2&gt;Steuern!$D$6,AN32/2&lt;Steuern!$D$10),INT((Steuern!$H$8*(AN32/2-Steuern!$D$8)/10000+Steuern!$I$8)*(AN32/2-Steuern!$D$6)/10000),IF(AND(AN32/2&gt;Steuern!$F$8,AN32/2&lt;Steuern!$D$12),INT((Steuern!$H$10*(AN32/2-Steuern!$F$8)/10000+Steuern!$I$10)*(AN32/2-Steuern!$F$8)/10000+Steuern!$J$10),IF(AND(AN32/2&gt;Steuern!$F$10,AN32/2&lt;Steuern!$D$14),INT(AN32/2*Steuern!$H$12-Steuern!$I$12),IF(AN32/2&gt;Steuern!$F$12,INT(AN32/2*Steuern!$H$14-Steuern!$I$14),0))))*2</f>
        <v>40936</v>
      </c>
      <c r="AQ32" s="241">
        <f t="shared" si="15"/>
        <v>143603.77334494068</v>
      </c>
      <c r="AR32" s="241">
        <f>IF(AND(AQ32&gt;Steuern!$D$6,AQ32&lt;Steuern!$D$10),INT((Steuern!$H$8*(AQ32-Steuern!$D$6)/10000+Steuern!$I$8)*(AQ32-Steuern!$D$6)/10000),IF(AND(AQ32&gt;Steuern!$F$8,AQ32&lt;Steuern!$D$12),INT((Steuern!$H$10*(AQ32-Steuern!$F$8)/10000+Steuern!$I$10)*(AQ32-Steuern!$F$8)/10000+Steuern!$J$10),IF(AND(AQ32&gt;Steuern!$F$10,AQ32&lt;Steuern!$D$14),INT(AQ32*Steuern!$H$12-Steuern!$I$12),IF(AQ32&gt;Steuern!$F$12,INT(AQ32*Steuern!$H$14-Steuern!$I$14),0))))</f>
        <v>50340</v>
      </c>
      <c r="AS32" s="241">
        <f t="shared" si="16"/>
        <v>144775.79760408218</v>
      </c>
      <c r="AT32" s="241">
        <f>IF(AND(AS32&gt;Steuern!$D$6,AS32&lt;Steuern!$D$10),INT((Steuern!$H$8*(AS32-Steuern!$D$6)/10000+Steuern!$I$8)*(AS32-Steuern!$D$6)/10000),IF(AND(AS32&gt;Steuern!$F$8,AS32&lt;Steuern!$D$12),INT((Steuern!$H$10*(AS32-Steuern!$F$8)/10000+Steuern!$I$10)*(AS32-Steuern!$F$8)/10000+Steuern!$J$10),IF(AND(AS32&gt;Steuern!$F$10,AS32&lt;Steuern!$D$14),INT(AS32*Steuern!$H$12-Steuern!$I$12),IF(AS32&gt;Steuern!$F$12,INT(AS32*Steuern!$H$14-Steuern!$I$14),0))))</f>
        <v>50832</v>
      </c>
      <c r="AU32" s="241">
        <f t="shared" si="17"/>
        <v>147396.52792131857</v>
      </c>
      <c r="AV32" s="241">
        <f>IF(AND(AU32&gt;Steuern!$D$6,AU32&lt;Steuern!$D$10),INT((Steuern!$H$8*(AU32-Steuern!$D$6)/10000+Steuern!$I$8)*(AU32-Steuern!$D$6)/10000),IF(AND(AU32&gt;Steuern!$F$8,AU32&lt;Steuern!$D$12),INT((Steuern!$H$10*(AU32-Steuern!$F$8)/10000+Steuern!$I$10)*(AU32-Steuern!$F$8)/10000+Steuern!$J$10),IF(AND(AU32&gt;Steuern!$F$10,AU32&lt;Steuern!$D$14),INT(AU32*Steuern!$H$12-Steuern!$I$12),IF(AU32&gt;Steuern!$F$12,INT(AU32*Steuern!$H$14-Steuern!$I$14),0))))</f>
        <v>51933</v>
      </c>
      <c r="AW32" s="241">
        <f>IF(AND(AU32/2&gt;Steuern!$D$6,AU32/2&lt;Steuern!$D$10),INT((Steuern!$H$8*(AU32/2-Steuern!$D$8)/10000+Steuern!$I$8)*(AU32/2-Steuern!$D$6)/10000),IF(AND(AU32/2&gt;Steuern!$F$8,AU32/2&lt;Steuern!$D$12),INT((Steuern!$H$10*(AU32/2-Steuern!$F$8)/10000+Steuern!$I$10)*(AU32/2-Steuern!$F$8)/10000+Steuern!$J$10),IF(AND(AU32/2&gt;Steuern!$F$10,AU32/2&lt;Steuern!$D$14),INT(AU32/2*Steuern!$H$12-Steuern!$I$12),IF(AU32/2&gt;Steuern!$F$12,INT(AU32/2*Steuern!$H$14-Steuern!$I$14),0))))*2</f>
        <v>41960</v>
      </c>
      <c r="AX32" s="241">
        <f t="shared" si="18"/>
        <v>146041.20723358419</v>
      </c>
      <c r="AY32" s="241">
        <f>IF(AND(AX32&gt;Steuern!$D$6,AX32&lt;Steuern!$D$10),INT((Steuern!N27*(AX32-Steuern!$D$8)/10000+Steuern!$I$8)*(AX32-Steuern!$D$6)/10000),IF(AND(AX32&gt;Steuern!$F$8,AX32&lt;Steuern!$D$12),INT((Steuern!$H$10*(AX32-Steuern!$F$8)/10000+Steuern!$I$10)*(AX32-Steuern!$F$8)/10000+Steuern!$J$10),IF(AND(AX32&gt;Steuern!$F$10,AX32&lt;Steuern!$D$14),INT(AX32*Steuern!$H$12-Steuern!$I$12),IF(AX32&gt;Steuern!$F$12,INT(AX32*Steuern!$H$14-Steuern!$I$14),0))))</f>
        <v>51364</v>
      </c>
      <c r="AZ32" s="241">
        <f t="shared" si="19"/>
        <v>147213.2314927257</v>
      </c>
      <c r="BA32" s="241">
        <f>IF(AND(AZ32&gt;Steuern!$D$6,AZ32&lt;Steuern!$D$10),INT((Steuern!P27*(AZ32-Steuern!$D$8)/10000+Steuern!$I$8)*(AZ32-Steuern!$D$6)/10000),IF(AND(AZ32&gt;Steuern!$F$8,AZ32&lt;Steuern!$D$12),INT((Steuern!$H$10*(AZ32-Steuern!$F$8)/10000+Steuern!$I$10)*(AZ32-Steuern!$F$8)/10000+Steuern!$J$10),IF(AND(AZ32&gt;Steuern!$F$10,AZ32&lt;Steuern!$D$14),INT(AZ32*Steuern!$H$12-Steuern!$I$12),IF(AZ32&gt;Steuern!$F$12,INT(AZ32*Steuern!$H$14-Steuern!$I$14),0))))</f>
        <v>51856</v>
      </c>
      <c r="BB32" s="241">
        <f t="shared" ref="BB32:BC32" si="141">AC32-AO32</f>
        <v>-3531</v>
      </c>
      <c r="BC32" s="241">
        <f t="shared" si="141"/>
        <v>-3532</v>
      </c>
      <c r="BD32" s="241">
        <f t="shared" si="21"/>
        <v>-2962</v>
      </c>
      <c r="BE32" s="241">
        <f t="shared" si="22"/>
        <v>-3454</v>
      </c>
      <c r="BF32" s="241">
        <f t="shared" ref="BF32:BG32" si="142">AC32-AV32</f>
        <v>-4555</v>
      </c>
      <c r="BG32" s="241">
        <f t="shared" si="142"/>
        <v>-4556</v>
      </c>
      <c r="BH32" s="241">
        <f t="shared" si="24"/>
        <v>-3986</v>
      </c>
      <c r="BI32" s="241">
        <f t="shared" si="25"/>
        <v>-4478</v>
      </c>
      <c r="BJ32" s="241">
        <f t="shared" si="26"/>
        <v>-2101.9646811358507</v>
      </c>
      <c r="BK32" s="241">
        <f t="shared" si="27"/>
        <v>-2102.9646811358507</v>
      </c>
      <c r="BL32" s="241">
        <f t="shared" si="28"/>
        <v>-1344.3625475789959</v>
      </c>
      <c r="BM32" s="241">
        <f t="shared" si="29"/>
        <v>-102.32302059452559</v>
      </c>
      <c r="BN32" s="241">
        <f t="shared" si="30"/>
        <v>-2101.9646811358507</v>
      </c>
      <c r="BO32" s="241">
        <f t="shared" si="31"/>
        <v>-90167.198737928236</v>
      </c>
      <c r="BP32" s="241">
        <f t="shared" si="32"/>
        <v>-2102.9646811358507</v>
      </c>
      <c r="BQ32" s="241">
        <f t="shared" si="33"/>
        <v>-91460.198737928236</v>
      </c>
      <c r="BR32" s="241">
        <f t="shared" si="34"/>
        <v>-1344.3625475789959</v>
      </c>
      <c r="BS32" s="241">
        <f t="shared" si="35"/>
        <v>-77665.360333904886</v>
      </c>
      <c r="BT32" s="241">
        <f t="shared" si="36"/>
        <v>-102.32302059452559</v>
      </c>
      <c r="BU32" s="241">
        <f t="shared" si="37"/>
        <v>-67227.857150891025</v>
      </c>
      <c r="BV32" s="241">
        <f t="shared" si="38"/>
        <v>-688.53079249235816</v>
      </c>
      <c r="BW32" s="241">
        <f t="shared" si="39"/>
        <v>-689.53079249235816</v>
      </c>
      <c r="BX32" s="241">
        <f t="shared" si="40"/>
        <v>69.071341064496664</v>
      </c>
      <c r="BY32" s="241">
        <f t="shared" si="41"/>
        <v>1311.1108680489669</v>
      </c>
      <c r="BZ32" s="241">
        <f t="shared" si="42"/>
        <v>-688.53079249235816</v>
      </c>
      <c r="CA32" s="241">
        <f t="shared" si="43"/>
        <v>-59483.070417109906</v>
      </c>
      <c r="CB32" s="241">
        <f t="shared" si="44"/>
        <v>-689.53079249235816</v>
      </c>
      <c r="CC32" s="241">
        <f t="shared" si="45"/>
        <v>-59015.070417109906</v>
      </c>
      <c r="CD32" s="241">
        <f t="shared" si="46"/>
        <v>69.071341064496664</v>
      </c>
      <c r="CE32" s="241">
        <f t="shared" si="47"/>
        <v>-46976.232013086556</v>
      </c>
      <c r="CF32" s="241">
        <f t="shared" si="48"/>
        <v>1311.1108680489669</v>
      </c>
      <c r="CG32" s="241">
        <f t="shared" si="49"/>
        <v>-36539.728830072709</v>
      </c>
      <c r="CH32" s="248"/>
      <c r="CI32" s="249">
        <f t="shared" ca="1" si="64"/>
        <v>55763</v>
      </c>
      <c r="CJ32" s="241">
        <f t="shared" si="50"/>
        <v>-2101.9646811358507</v>
      </c>
      <c r="CK32" s="257"/>
      <c r="CL32" s="248"/>
      <c r="CM32" s="241">
        <f t="shared" si="53"/>
        <v>-2101.9646811358507</v>
      </c>
      <c r="CN32" s="241">
        <f t="shared" si="54"/>
        <v>-2101.9646811358507</v>
      </c>
      <c r="CO32" s="257"/>
      <c r="CP32" s="248"/>
      <c r="CQ32" s="241"/>
      <c r="CR32" s="241"/>
      <c r="CS32" s="257"/>
      <c r="CT32" s="248"/>
      <c r="CU32" s="241"/>
      <c r="CV32" s="241"/>
      <c r="CW32" s="257"/>
      <c r="CX32" s="248"/>
      <c r="CY32" s="241"/>
      <c r="CZ32" s="241"/>
      <c r="DA32" s="241">
        <f t="shared" si="55"/>
        <v>-688.53079249235816</v>
      </c>
      <c r="DB32" s="257"/>
      <c r="DC32" s="248"/>
      <c r="DD32" s="241">
        <f t="shared" si="58"/>
        <v>-688.53079249235816</v>
      </c>
      <c r="DE32" s="241">
        <f t="shared" si="59"/>
        <v>-688.53079249235816</v>
      </c>
      <c r="DF32" s="257"/>
      <c r="DG32" s="248"/>
      <c r="DH32" s="241"/>
      <c r="DI32" s="241"/>
      <c r="DJ32" s="257"/>
      <c r="DK32" s="248"/>
      <c r="DL32" s="241"/>
      <c r="DM32" s="241"/>
      <c r="DN32" s="257"/>
      <c r="DO32" s="248"/>
      <c r="DP32" s="241"/>
      <c r="DQ32" s="241"/>
      <c r="DR32" s="241"/>
      <c r="DS32" s="241">
        <f t="shared" si="3"/>
        <v>-688.53079249235816</v>
      </c>
    </row>
    <row r="33" spans="1:123" ht="15.75" customHeight="1">
      <c r="A33" s="243">
        <v>29</v>
      </c>
      <c r="B33" s="244">
        <f>B32*(1+'Immobilie als Kapitalanlage'!$D$47)</f>
        <v>332291.4652652411</v>
      </c>
      <c r="C33" s="241">
        <f>$C$4*(1+'Immobilie als Kapitalanlage'!$D$47)^A33</f>
        <v>0</v>
      </c>
      <c r="D33" s="244">
        <f t="shared" si="69"/>
        <v>332291.4652652411</v>
      </c>
      <c r="E33" s="138"/>
      <c r="F33" s="245">
        <f>MAX(-FV('Immobilie als Kapitalanlage'!$D$26/12,A33*12,(-I33/12),'Immobilie als Kapitalanlage'!$C$25,0),0)</f>
        <v>61685.492206146941</v>
      </c>
      <c r="G33" s="245">
        <f>IF(I33-H33&gt;G32,F32*'Immobilie als Kapitalanlage'!$D$26,I33-H33)</f>
        <v>2351.4658263142919</v>
      </c>
      <c r="H33" s="241">
        <f t="shared" si="4"/>
        <v>10098.534173685708</v>
      </c>
      <c r="I33" s="241">
        <f>$F$4*('Immobilie als Kapitalanlage'!$D$26+'Immobilie als Kapitalanlage'!$D$36)</f>
        <v>12450</v>
      </c>
      <c r="J33" s="245">
        <f>MAX((-FV('Immobilie als Kapitalanlage'!$C$85/12,(A33-$A$14)*12,(-M33/12),$J$14,0)),0)</f>
        <v>88325.444627638382</v>
      </c>
      <c r="K33" s="241">
        <f t="shared" si="98"/>
        <v>3719.2272832836006</v>
      </c>
      <c r="L33" s="241">
        <f t="shared" si="99"/>
        <v>8542.1705831595464</v>
      </c>
      <c r="M33" s="241">
        <f>$J$14*('Immobilie als Kapitalanlage'!$C$85+'Immobilie als Kapitalanlage'!$C$86)</f>
        <v>12261.397866443147</v>
      </c>
      <c r="N33" s="245">
        <f>MAX((-FV('Immobilie als Kapitalanlage'!$C$88/12,(A33-$A$19)*12,(-Q33/12),$N$19,0)),0)</f>
        <v>84014.624728061404</v>
      </c>
      <c r="O33" s="245">
        <f t="shared" si="115"/>
        <v>2649.0473247975478</v>
      </c>
      <c r="P33" s="241">
        <f t="shared" si="116"/>
        <v>7878.3110146611289</v>
      </c>
      <c r="Q33" s="241">
        <f>$N$19*('Immobilie als Kapitalanlage'!$C$88+'Immobilie als Kapitalanlage'!$C$89)</f>
        <v>10527.358339458677</v>
      </c>
      <c r="R33" s="250">
        <f t="shared" si="6"/>
        <v>-2536.324063554177</v>
      </c>
      <c r="S33" s="250">
        <f>'Immobilie als Kapitalanlage'!$C$27*12*(1+'Immobilie als Kapitalanlage'!$D$44)^A32</f>
        <v>-426.20272567137727</v>
      </c>
      <c r="T33" s="250">
        <f>'Immobilie als Kapitalanlage'!$C$29*12*(1+'Immobilie als Kapitalanlage'!$D$44)^A32</f>
        <v>-1483.3526236601858</v>
      </c>
      <c r="U33" s="250">
        <f>'Immobilie als Kapitalanlage'!$C$30*12*(1+'Immobilie als Kapitalanlage'!$D$44)^A32</f>
        <v>-626.76871422261365</v>
      </c>
      <c r="V33" s="250">
        <f>'Immobilie als Kapitalanlage'!$C$28*12*(1+'Immobilie als Kapitalanlage'!$D$44)^A32</f>
        <v>-1065.5068141784434</v>
      </c>
      <c r="W33" s="241">
        <f>$W$5*(1+'Immobilie als Kapitalanlage'!$D$43)^A32</f>
        <v>17758.446902974054</v>
      </c>
      <c r="X33" s="241">
        <f>$X$5*(1+'Immobilie als Kapitalanlage'!$D$43)^A32</f>
        <v>20244.62946939042</v>
      </c>
      <c r="Y33" s="241">
        <f>-'Immobilie als Kapitalanlage'!$C$25*'Immobilie als Kapitalanlage'!$D$99</f>
        <v>0</v>
      </c>
      <c r="Z33" s="241">
        <f t="shared" si="7"/>
        <v>0</v>
      </c>
      <c r="AA33" s="241">
        <f>FV((((1+'Immobilie als Kapitalanlage'!$D$80)^(1/12)-1)),A33*12,Y33/12,-'Immobilie als Kapitalanlage'!$G$95,)</f>
        <v>0</v>
      </c>
      <c r="AB33" s="241">
        <f>$AB$5*(1+'Immobilie als Kapitalanlage'!$D$51)^A32</f>
        <v>139281.93649391417</v>
      </c>
      <c r="AC33" s="241">
        <f>IF(AND(AB33&gt;Steuern!$D$6,AB33&lt;Steuern!$D$10),INT((Steuern!$H$8*(AB33-Steuern!$D$6)/10000+Steuern!$I$8)*(AB33-Steuern!$D$6)/10000),IF(AND(AB33&gt;Steuern!$F$8,AB33&lt;Steuern!$D$12),INT((Steuern!$H$10*(AB33-Steuern!$F$8)/10000+Steuern!$I$10)*(AB33-Steuern!$F$8)/10000+Steuern!$J$10),IF(AND(AB33&gt;Steuern!$F$10,AB33&lt;Steuern!$D$14),INT(AB33*Steuern!$H$12-Steuern!$I$12),IF(AB33&gt;Steuern!$F$12,INT(AB33*Steuern!$H$14-Steuern!$I$14),0))))</f>
        <v>48525</v>
      </c>
      <c r="AD33" s="241">
        <f>IF(AND(AB33/2&gt;Steuern!$D$6,AB33/2&lt;Steuern!$D$10),INT((Steuern!$H$8*(AB33/2-Steuern!$D$8)/10000+Steuern!$I$8)*(AB33/2-Steuern!$D$6)/10000),IF(AND(AB33/2&gt;Steuern!$F$8,AB33/2&lt;Steuern!$D$12),INT((Steuern!$H$10*(AB33/2-Steuern!$F$8)/10000+Steuern!$I$10)*(AB33/2-Steuern!$F$8)/10000+Steuern!$J$10),IF(AND(AB33/2&gt;Steuern!$F$10,AB33/2&lt;Steuern!$D$14),INT(AB33/2*Steuern!$H$12-Steuern!$I$12),IF(AB33/2&gt;Steuern!$F$12,INT(AB33/2*Steuern!$H$14-Steuern!$I$14),0))))*2</f>
        <v>38552</v>
      </c>
      <c r="AE33" s="241">
        <f t="shared" si="8"/>
        <v>12870.657013105585</v>
      </c>
      <c r="AF33" s="241">
        <f t="shared" si="9"/>
        <v>11502.895556136276</v>
      </c>
      <c r="AG33" s="241">
        <f t="shared" si="10"/>
        <v>12573.075514622329</v>
      </c>
      <c r="AH33" s="241">
        <f t="shared" si="11"/>
        <v>15356.839579521951</v>
      </c>
      <c r="AI33" s="241">
        <f t="shared" si="12"/>
        <v>13989.078122552643</v>
      </c>
      <c r="AJ33" s="241">
        <f t="shared" si="13"/>
        <v>15059.258081038695</v>
      </c>
      <c r="AK33" s="248"/>
      <c r="AL33" s="241">
        <f>('Immobilie als Kapitalanlage'!$C$16+'Immobilie als Kapitalanlage'!$C$20+'Immobilie als Kapitalanlage'!$C$15)*(1-'Immobilie als Kapitalanlage'!$D$53)</f>
        <v>190858.5</v>
      </c>
      <c r="AM33" s="241">
        <f>AL33*'Immobilie als Kapitalanlage'!$D$52</f>
        <v>3817.17</v>
      </c>
      <c r="AN33" s="241">
        <f t="shared" si="14"/>
        <v>148335.42350701973</v>
      </c>
      <c r="AO33" s="241">
        <f>IF(AND(AN33&gt;Steuern!$D$6,AN33&lt;Steuern!$D$10),INT((Steuern!H28*(AN33-Steuern!$D$8)/10000+Steuern!$I$8)*(AN33-Steuern!$D$6)/10000),IF(AND(AN33&gt;Steuern!$F$8,AN33&lt;Steuern!$D$12),INT((Steuern!$H$10*(AN33-Steuern!$F$8)/10000+Steuern!$I$10)*(AN33-Steuern!$F$8)/10000+Steuern!$J$10),IF(AND(AN33&gt;Steuern!$F$10,AN33&lt;Steuern!$D$14),INT(AN33*Steuern!$H$12-Steuern!$I$12),IF(AN33&gt;Steuern!$F$12,INT(AN33*Steuern!$H$14-Steuern!$I$14),0))))</f>
        <v>52327</v>
      </c>
      <c r="AP33" s="241">
        <f>IF(AND(AN33/2&gt;Steuern!$D$6,AN33/2&lt;Steuern!$D$10),INT((Steuern!$H$8*(AN33/2-Steuern!$D$8)/10000+Steuern!$I$8)*(AN33/2-Steuern!$D$6)/10000),IF(AND(AN33/2&gt;Steuern!$F$8,AN33/2&lt;Steuern!$D$12),INT((Steuern!$H$10*(AN33/2-Steuern!$F$8)/10000+Steuern!$I$10)*(AN33/2-Steuern!$F$8)/10000+Steuern!$J$10),IF(AND(AN33/2&gt;Steuern!$F$10,AN33/2&lt;Steuern!$D$14),INT(AN33/2*Steuern!$H$12-Steuern!$I$12),IF(AN33/2&gt;Steuern!$F$12,INT(AN33/2*Steuern!$H$14-Steuern!$I$14),0))))*2</f>
        <v>42354</v>
      </c>
      <c r="AQ33" s="241">
        <f t="shared" si="15"/>
        <v>146967.66205005042</v>
      </c>
      <c r="AR33" s="241">
        <f>IF(AND(AQ33&gt;Steuern!$D$6,AQ33&lt;Steuern!$D$10),INT((Steuern!$H$8*(AQ33-Steuern!$D$6)/10000+Steuern!$I$8)*(AQ33-Steuern!$D$6)/10000),IF(AND(AQ33&gt;Steuern!$F$8,AQ33&lt;Steuern!$D$12),INT((Steuern!$H$10*(AQ33-Steuern!$F$8)/10000+Steuern!$I$10)*(AQ33-Steuern!$F$8)/10000+Steuern!$J$10),IF(AND(AQ33&gt;Steuern!$F$10,AQ33&lt;Steuern!$D$14),INT(AQ33*Steuern!$H$12-Steuern!$I$12),IF(AQ33&gt;Steuern!$F$12,INT(AQ33*Steuern!$H$14-Steuern!$I$14),0))))</f>
        <v>51753</v>
      </c>
      <c r="AS33" s="241">
        <f t="shared" si="16"/>
        <v>148037.84200853648</v>
      </c>
      <c r="AT33" s="241">
        <f>IF(AND(AS33&gt;Steuern!$D$6,AS33&lt;Steuern!$D$10),INT((Steuern!$H$8*(AS33-Steuern!$D$6)/10000+Steuern!$I$8)*(AS33-Steuern!$D$6)/10000),IF(AND(AS33&gt;Steuern!$F$8,AS33&lt;Steuern!$D$12),INT((Steuern!$H$10*(AS33-Steuern!$F$8)/10000+Steuern!$I$10)*(AS33-Steuern!$F$8)/10000+Steuern!$J$10),IF(AND(AS33&gt;Steuern!$F$10,AS33&lt;Steuern!$D$14),INT(AS33*Steuern!$H$12-Steuern!$I$12),IF(AS33&gt;Steuern!$F$12,INT(AS33*Steuern!$H$14-Steuern!$I$14),0))))</f>
        <v>52202</v>
      </c>
      <c r="AU33" s="241">
        <f t="shared" si="17"/>
        <v>150821.60607343609</v>
      </c>
      <c r="AV33" s="241">
        <f>IF(AND(AU33&gt;Steuern!$D$6,AU33&lt;Steuern!$D$10),INT((Steuern!$H$8*(AU33-Steuern!$D$6)/10000+Steuern!$I$8)*(AU33-Steuern!$D$6)/10000),IF(AND(AU33&gt;Steuern!$F$8,AU33&lt;Steuern!$D$12),INT((Steuern!$H$10*(AU33-Steuern!$F$8)/10000+Steuern!$I$10)*(AU33-Steuern!$F$8)/10000+Steuern!$J$10),IF(AND(AU33&gt;Steuern!$F$10,AU33&lt;Steuern!$D$14),INT(AU33*Steuern!$H$12-Steuern!$I$12),IF(AU33&gt;Steuern!$F$12,INT(AU33*Steuern!$H$14-Steuern!$I$14),0))))</f>
        <v>53372</v>
      </c>
      <c r="AW33" s="241">
        <f>IF(AND(AU33/2&gt;Steuern!$D$6,AU33/2&lt;Steuern!$D$10),INT((Steuern!$H$8*(AU33/2-Steuern!$D$8)/10000+Steuern!$I$8)*(AU33/2-Steuern!$D$6)/10000),IF(AND(AU33/2&gt;Steuern!$F$8,AU33/2&lt;Steuern!$D$12),INT((Steuern!$H$10*(AU33/2-Steuern!$F$8)/10000+Steuern!$I$10)*(AU33/2-Steuern!$F$8)/10000+Steuern!$J$10),IF(AND(AU33/2&gt;Steuern!$F$10,AU33/2&lt;Steuern!$D$14),INT(AU33/2*Steuern!$H$12-Steuern!$I$12),IF(AU33/2&gt;Steuern!$F$12,INT(AU33/2*Steuern!$H$14-Steuern!$I$14),0))))*2</f>
        <v>43398</v>
      </c>
      <c r="AX33" s="241">
        <f t="shared" si="18"/>
        <v>149453.84461646678</v>
      </c>
      <c r="AY33" s="241">
        <f>IF(AND(AX33&gt;Steuern!$D$6,AX33&lt;Steuern!$D$10),INT((Steuern!N28*(AX33-Steuern!$D$8)/10000+Steuern!$I$8)*(AX33-Steuern!$D$6)/10000),IF(AND(AX33&gt;Steuern!$F$8,AX33&lt;Steuern!$D$12),INT((Steuern!$H$10*(AX33-Steuern!$F$8)/10000+Steuern!$I$10)*(AX33-Steuern!$F$8)/10000+Steuern!$J$10),IF(AND(AX33&gt;Steuern!$F$10,AX33&lt;Steuern!$D$14),INT(AX33*Steuern!$H$12-Steuern!$I$12),IF(AX33&gt;Steuern!$F$12,INT(AX33*Steuern!$H$14-Steuern!$I$14),0))))</f>
        <v>52797</v>
      </c>
      <c r="AZ33" s="241">
        <f t="shared" si="19"/>
        <v>150524.02457495284</v>
      </c>
      <c r="BA33" s="241">
        <f>IF(AND(AZ33&gt;Steuern!$D$6,AZ33&lt;Steuern!$D$10),INT((Steuern!P28*(AZ33-Steuern!$D$8)/10000+Steuern!$I$8)*(AZ33-Steuern!$D$6)/10000),IF(AND(AZ33&gt;Steuern!$F$8,AZ33&lt;Steuern!$D$12),INT((Steuern!$H$10*(AZ33-Steuern!$F$8)/10000+Steuern!$I$10)*(AZ33-Steuern!$F$8)/10000+Steuern!$J$10),IF(AND(AZ33&gt;Steuern!$F$10,AZ33&lt;Steuern!$D$14),INT(AZ33*Steuern!$H$12-Steuern!$I$12),IF(AZ33&gt;Steuern!$F$12,INT(AZ33*Steuern!$H$14-Steuern!$I$14),0))))</f>
        <v>53247</v>
      </c>
      <c r="BB33" s="241">
        <f t="shared" ref="BB33:BC33" si="143">AC33-AO33</f>
        <v>-3802</v>
      </c>
      <c r="BC33" s="241">
        <f t="shared" si="143"/>
        <v>-3802</v>
      </c>
      <c r="BD33" s="241">
        <f t="shared" si="21"/>
        <v>-3228</v>
      </c>
      <c r="BE33" s="241">
        <f t="shared" si="22"/>
        <v>-3677</v>
      </c>
      <c r="BF33" s="241">
        <f t="shared" ref="BF33:BG33" si="144">AC33-AV33</f>
        <v>-4847</v>
      </c>
      <c r="BG33" s="241">
        <f t="shared" si="144"/>
        <v>-4846</v>
      </c>
      <c r="BH33" s="241">
        <f t="shared" si="24"/>
        <v>-4272</v>
      </c>
      <c r="BI33" s="241">
        <f t="shared" si="25"/>
        <v>-4722</v>
      </c>
      <c r="BJ33" s="241">
        <f t="shared" si="26"/>
        <v>-2095.3839747585662</v>
      </c>
      <c r="BK33" s="241">
        <f t="shared" si="27"/>
        <v>-2095.3839747585662</v>
      </c>
      <c r="BL33" s="241">
        <f t="shared" si="28"/>
        <v>-1332.7818412017132</v>
      </c>
      <c r="BM33" s="241">
        <f t="shared" si="29"/>
        <v>-47.742314217242892</v>
      </c>
      <c r="BN33" s="241">
        <f t="shared" si="30"/>
        <v>-2095.3839747585662</v>
      </c>
      <c r="BO33" s="241">
        <f t="shared" si="31"/>
        <v>-92262.582712686795</v>
      </c>
      <c r="BP33" s="241">
        <f t="shared" si="32"/>
        <v>-2095.3839747585662</v>
      </c>
      <c r="BQ33" s="241">
        <f t="shared" si="33"/>
        <v>-93555.582712686795</v>
      </c>
      <c r="BR33" s="241">
        <f t="shared" si="34"/>
        <v>-1332.7818412017132</v>
      </c>
      <c r="BS33" s="241">
        <f t="shared" si="35"/>
        <v>-78998.142175106594</v>
      </c>
      <c r="BT33" s="241">
        <f t="shared" si="36"/>
        <v>-47.742314217242892</v>
      </c>
      <c r="BU33" s="241">
        <f t="shared" si="37"/>
        <v>-67275.599465108273</v>
      </c>
      <c r="BV33" s="241">
        <f t="shared" si="38"/>
        <v>-654.20140834220001</v>
      </c>
      <c r="BW33" s="241">
        <f t="shared" si="39"/>
        <v>-653.20140834220001</v>
      </c>
      <c r="BX33" s="241">
        <f t="shared" si="40"/>
        <v>109.40072521465299</v>
      </c>
      <c r="BY33" s="241">
        <f t="shared" si="41"/>
        <v>1393.4402521991233</v>
      </c>
      <c r="BZ33" s="241">
        <f t="shared" si="42"/>
        <v>-654.20140834220001</v>
      </c>
      <c r="CA33" s="241">
        <f t="shared" si="43"/>
        <v>-60137.271825452102</v>
      </c>
      <c r="CB33" s="241">
        <f t="shared" si="44"/>
        <v>-653.20140834220001</v>
      </c>
      <c r="CC33" s="241">
        <f t="shared" si="45"/>
        <v>-59668.271825452102</v>
      </c>
      <c r="CD33" s="241">
        <f t="shared" si="46"/>
        <v>109.40072521465299</v>
      </c>
      <c r="CE33" s="241">
        <f t="shared" si="47"/>
        <v>-46866.831287871901</v>
      </c>
      <c r="CF33" s="241">
        <f t="shared" si="48"/>
        <v>1393.4402521991233</v>
      </c>
      <c r="CG33" s="241">
        <f t="shared" si="49"/>
        <v>-35146.288577873587</v>
      </c>
      <c r="CH33" s="248"/>
      <c r="CI33" s="249">
        <f t="shared" ca="1" si="64"/>
        <v>56128</v>
      </c>
      <c r="CJ33" s="241">
        <f t="shared" si="50"/>
        <v>-2095.3839747585662</v>
      </c>
      <c r="CK33" s="257"/>
      <c r="CL33" s="248"/>
      <c r="CM33" s="241">
        <f t="shared" si="53"/>
        <v>-2095.3839747585662</v>
      </c>
      <c r="CN33" s="241">
        <f t="shared" si="54"/>
        <v>-2095.3839747585662</v>
      </c>
      <c r="CO33" s="257"/>
      <c r="CP33" s="248"/>
      <c r="CQ33" s="241"/>
      <c r="CR33" s="241"/>
      <c r="CS33" s="257"/>
      <c r="CT33" s="248"/>
      <c r="CU33" s="241"/>
      <c r="CV33" s="241"/>
      <c r="CW33" s="257"/>
      <c r="CX33" s="248"/>
      <c r="CY33" s="241"/>
      <c r="CZ33" s="241"/>
      <c r="DA33" s="241">
        <f t="shared" si="55"/>
        <v>-654.20140834220001</v>
      </c>
      <c r="DB33" s="257"/>
      <c r="DC33" s="248"/>
      <c r="DD33" s="241">
        <f t="shared" si="58"/>
        <v>-654.20140834220001</v>
      </c>
      <c r="DE33" s="241">
        <f t="shared" si="59"/>
        <v>-654.20140834220001</v>
      </c>
      <c r="DF33" s="257"/>
      <c r="DG33" s="248"/>
      <c r="DH33" s="241"/>
      <c r="DI33" s="241"/>
      <c r="DJ33" s="257"/>
      <c r="DK33" s="248"/>
      <c r="DL33" s="241"/>
      <c r="DM33" s="241"/>
      <c r="DN33" s="257"/>
      <c r="DO33" s="248"/>
      <c r="DP33" s="241"/>
      <c r="DQ33" s="241"/>
      <c r="DR33" s="241"/>
      <c r="DS33" s="241">
        <f t="shared" si="3"/>
        <v>-654.20140834220001</v>
      </c>
    </row>
    <row r="34" spans="1:123" ht="15.75" customHeight="1">
      <c r="A34" s="233">
        <v>30</v>
      </c>
      <c r="B34" s="234">
        <f>B33*(1+'Immobilie als Kapitalanlage'!$D$47)</f>
        <v>335614.3799178935</v>
      </c>
      <c r="C34" s="235">
        <f>$C$4*(1+'Immobilie als Kapitalanlage'!$D$47)^A34</f>
        <v>0</v>
      </c>
      <c r="D34" s="234">
        <f t="shared" si="69"/>
        <v>335614.3799178935</v>
      </c>
      <c r="E34" s="251"/>
      <c r="F34" s="252">
        <f>MAX(-FV('Immobilie als Kapitalanlage'!$D$26/12,A34*12,(-I34/12),'Immobilie als Kapitalanlage'!$C$25,0),0)</f>
        <v>51227.783942682552</v>
      </c>
      <c r="G34" s="252">
        <f>IF(I34-H34&gt;G33,F33*'Immobilie als Kapitalanlage'!$D$26,I34-H34)</f>
        <v>1992.2917365356116</v>
      </c>
      <c r="H34" s="235">
        <f t="shared" si="4"/>
        <v>10457.708263464388</v>
      </c>
      <c r="I34" s="235">
        <f>$F$4*('Immobilie als Kapitalanlage'!$D$26+'Immobilie als Kapitalanlage'!$D$36)</f>
        <v>12450</v>
      </c>
      <c r="J34" s="252">
        <f>MAX((-FV('Immobilie als Kapitalanlage'!$C$85/12,(A34-$A$14)*12,(-M34/12),$J$14,0)),0)</f>
        <v>79435.252835036837</v>
      </c>
      <c r="K34" s="235">
        <f t="shared" si="98"/>
        <v>3371.2060738416021</v>
      </c>
      <c r="L34" s="235">
        <f t="shared" si="99"/>
        <v>8890.1917926015449</v>
      </c>
      <c r="M34" s="235">
        <f>$J$14*('Immobilie als Kapitalanlage'!$C$85+'Immobilie als Kapitalanlage'!$C$86)</f>
        <v>12261.397866443147</v>
      </c>
      <c r="N34" s="252">
        <f>MAX((-FV('Immobilie als Kapitalanlage'!$C$88/12,(A34-$A$19)*12,(-Q34/12),$N$19,0)),0)</f>
        <v>75896.687345027225</v>
      </c>
      <c r="O34" s="252">
        <f t="shared" si="115"/>
        <v>2409.4209564244975</v>
      </c>
      <c r="P34" s="235">
        <f t="shared" si="116"/>
        <v>8117.9373830341792</v>
      </c>
      <c r="Q34" s="235">
        <f>$N$19*('Immobilie als Kapitalanlage'!$C$88+'Immobilie als Kapitalanlage'!$C$89)</f>
        <v>10527.358339458677</v>
      </c>
      <c r="R34" s="237">
        <f t="shared" si="6"/>
        <v>-2587.0505448252597</v>
      </c>
      <c r="S34" s="237">
        <f>'Immobilie als Kapitalanlage'!$C$27*12*(1+'Immobilie als Kapitalanlage'!$D$44)^A33</f>
        <v>-434.72678018480474</v>
      </c>
      <c r="T34" s="237">
        <f>'Immobilie als Kapitalanlage'!$C$29*12*(1+'Immobilie als Kapitalanlage'!$D$44)^A33</f>
        <v>-1513.0196761333893</v>
      </c>
      <c r="U34" s="237">
        <f>'Immobilie als Kapitalanlage'!$C$30*12*(1+'Immobilie als Kapitalanlage'!$D$44)^A33</f>
        <v>-639.3040885070659</v>
      </c>
      <c r="V34" s="237">
        <f>'Immobilie als Kapitalanlage'!$C$28*12*(1+'Immobilie als Kapitalanlage'!$D$44)^A33</f>
        <v>-1086.8169504620121</v>
      </c>
      <c r="W34" s="235">
        <f>$W$5*(1+'Immobilie als Kapitalanlage'!$D$43)^A33</f>
        <v>18113.615841033534</v>
      </c>
      <c r="X34" s="235">
        <f>$X$5*(1+'Immobilie als Kapitalanlage'!$D$43)^A33</f>
        <v>20649.522058778224</v>
      </c>
      <c r="Y34" s="235">
        <f>-'Immobilie als Kapitalanlage'!$C$25*'Immobilie als Kapitalanlage'!$D$99</f>
        <v>0</v>
      </c>
      <c r="Z34" s="235">
        <f t="shared" si="7"/>
        <v>0</v>
      </c>
      <c r="AA34" s="235">
        <f>FV((((1+'Immobilie als Kapitalanlage'!$D$80)^(1/12)-1)),A34*12,Y34/12,-'Immobilie als Kapitalanlage'!$G$95,)</f>
        <v>0</v>
      </c>
      <c r="AB34" s="235">
        <f>$AB$5*(1+'Immobilie als Kapitalanlage'!$D$51)^A33</f>
        <v>142067.57522379243</v>
      </c>
      <c r="AC34" s="235">
        <f>IF(AND(AB34&gt;Steuern!$D$6,AB34&lt;Steuern!$D$10),INT((Steuern!$H$8*(AB34-Steuern!$D$6)/10000+Steuern!$I$8)*(AB34-Steuern!$D$6)/10000),IF(AND(AB34&gt;Steuern!$F$8,AB34&lt;Steuern!$D$12),INT((Steuern!$H$10*(AB34-Steuern!$F$8)/10000+Steuern!$I$10)*(AB34-Steuern!$F$8)/10000+Steuern!$J$10),IF(AND(AB34&gt;Steuern!$F$10,AB34&lt;Steuern!$D$14),INT(AB34*Steuern!$H$12-Steuern!$I$12),IF(AB34&gt;Steuern!$F$12,INT(AB34*Steuern!$H$14-Steuern!$I$14),0))))</f>
        <v>49695</v>
      </c>
      <c r="AD34" s="235">
        <f>IF(AND(AB34/2&gt;Steuern!$D$6,AB34/2&lt;Steuern!$D$10),INT((Steuern!$H$8*(AB34/2-Steuern!$D$8)/10000+Steuern!$I$8)*(AB34/2-Steuern!$D$6)/10000),IF(AND(AB34/2&gt;Steuern!$F$8,AB34/2&lt;Steuern!$D$12),INT((Steuern!$H$10*(AB34/2-Steuern!$F$8)/10000+Steuern!$I$10)*(AB34/2-Steuern!$F$8)/10000+Steuern!$J$10),IF(AND(AB34/2&gt;Steuern!$F$10,AB34/2&lt;Steuern!$D$14),INT(AB34/2*Steuern!$H$12-Steuern!$I$12),IF(AB34/2&gt;Steuern!$F$12,INT(AB34/2*Steuern!$H$14-Steuern!$I$14),0))))*2</f>
        <v>39722</v>
      </c>
      <c r="AE34" s="235">
        <f t="shared" si="8"/>
        <v>13534.273559672663</v>
      </c>
      <c r="AF34" s="235">
        <f t="shared" si="9"/>
        <v>12155.359222366671</v>
      </c>
      <c r="AG34" s="235">
        <f t="shared" si="10"/>
        <v>13117.144339783776</v>
      </c>
      <c r="AH34" s="235">
        <f t="shared" si="11"/>
        <v>16070.179777417354</v>
      </c>
      <c r="AI34" s="235">
        <f t="shared" si="12"/>
        <v>14691.265440111361</v>
      </c>
      <c r="AJ34" s="235">
        <f t="shared" si="13"/>
        <v>15653.050557528466</v>
      </c>
      <c r="AK34" s="254"/>
      <c r="AL34" s="235">
        <f>('Immobilie als Kapitalanlage'!$C$16+'Immobilie als Kapitalanlage'!$C$20+'Immobilie als Kapitalanlage'!$C$15)*(1-'Immobilie als Kapitalanlage'!$D$53)</f>
        <v>190858.5</v>
      </c>
      <c r="AM34" s="235">
        <f>AL34*'Immobilie als Kapitalanlage'!$D$52</f>
        <v>3817.17</v>
      </c>
      <c r="AN34" s="235">
        <f t="shared" si="14"/>
        <v>151784.67878346509</v>
      </c>
      <c r="AO34" s="235">
        <f>IF(AND(AN34&gt;Steuern!$D$6,AN34&lt;Steuern!$D$10),INT((Steuern!H29*(AN34-Steuern!$D$8)/10000+Steuern!$I$8)*(AN34-Steuern!$D$6)/10000),IF(AND(AN34&gt;Steuern!$F$8,AN34&lt;Steuern!$D$12),INT((Steuern!$H$10*(AN34-Steuern!$F$8)/10000+Steuern!$I$10)*(AN34-Steuern!$F$8)/10000+Steuern!$J$10),IF(AND(AN34&gt;Steuern!$F$10,AN34&lt;Steuern!$D$14),INT(AN34*Steuern!$H$12-Steuern!$I$12),IF(AN34&gt;Steuern!$F$12,INT(AN34*Steuern!$H$14-Steuern!$I$14),0))))</f>
        <v>53776</v>
      </c>
      <c r="AP34" s="235">
        <f>IF(AND(AN34/2&gt;Steuern!$D$6,AN34/2&lt;Steuern!$D$10),INT((Steuern!$H$8*(AN34/2-Steuern!$D$8)/10000+Steuern!$I$8)*(AN34/2-Steuern!$D$6)/10000),IF(AND(AN34/2&gt;Steuern!$F$8,AN34/2&lt;Steuern!$D$12),INT((Steuern!$H$10*(AN34/2-Steuern!$F$8)/10000+Steuern!$I$10)*(AN34/2-Steuern!$F$8)/10000+Steuern!$J$10),IF(AND(AN34/2&gt;Steuern!$F$10,AN34/2&lt;Steuern!$D$14),INT(AN34/2*Steuern!$H$12-Steuern!$I$12),IF(AN34/2&gt;Steuern!$F$12,INT(AN34/2*Steuern!$H$14-Steuern!$I$14),0))))*2</f>
        <v>43802</v>
      </c>
      <c r="AQ34" s="235">
        <f t="shared" si="15"/>
        <v>150405.7644461591</v>
      </c>
      <c r="AR34" s="235">
        <f>IF(AND(AQ34&gt;Steuern!$D$6,AQ34&lt;Steuern!$D$10),INT((Steuern!$H$8*(AQ34-Steuern!$D$6)/10000+Steuern!$I$8)*(AQ34-Steuern!$D$6)/10000),IF(AND(AQ34&gt;Steuern!$F$8,AQ34&lt;Steuern!$D$12),INT((Steuern!$H$10*(AQ34-Steuern!$F$8)/10000+Steuern!$I$10)*(AQ34-Steuern!$F$8)/10000+Steuern!$J$10),IF(AND(AQ34&gt;Steuern!$F$10,AQ34&lt;Steuern!$D$14),INT(AQ34*Steuern!$H$12-Steuern!$I$12),IF(AQ34&gt;Steuern!$F$12,INT(AQ34*Steuern!$H$14-Steuern!$I$14),0))))</f>
        <v>53197</v>
      </c>
      <c r="AS34" s="235">
        <f t="shared" si="16"/>
        <v>151367.54956357621</v>
      </c>
      <c r="AT34" s="235">
        <f>IF(AND(AS34&gt;Steuern!$D$6,AS34&lt;Steuern!$D$10),INT((Steuern!$H$8*(AS34-Steuern!$D$6)/10000+Steuern!$I$8)*(AS34-Steuern!$D$6)/10000),IF(AND(AS34&gt;Steuern!$F$8,AS34&lt;Steuern!$D$12),INT((Steuern!$H$10*(AS34-Steuern!$F$8)/10000+Steuern!$I$10)*(AS34-Steuern!$F$8)/10000+Steuern!$J$10),IF(AND(AS34&gt;Steuern!$F$10,AS34&lt;Steuern!$D$14),INT(AS34*Steuern!$H$12-Steuern!$I$12),IF(AS34&gt;Steuern!$F$12,INT(AS34*Steuern!$H$14-Steuern!$I$14),0))))</f>
        <v>53601</v>
      </c>
      <c r="AU34" s="235">
        <f t="shared" si="17"/>
        <v>154320.58500120978</v>
      </c>
      <c r="AV34" s="235">
        <f>IF(AND(AU34&gt;Steuern!$D$6,AU34&lt;Steuern!$D$10),INT((Steuern!$H$8*(AU34-Steuern!$D$6)/10000+Steuern!$I$8)*(AU34-Steuern!$D$6)/10000),IF(AND(AU34&gt;Steuern!$F$8,AU34&lt;Steuern!$D$12),INT((Steuern!$H$10*(AU34-Steuern!$F$8)/10000+Steuern!$I$10)*(AU34-Steuern!$F$8)/10000+Steuern!$J$10),IF(AND(AU34&gt;Steuern!$F$10,AU34&lt;Steuern!$D$14),INT(AU34*Steuern!$H$12-Steuern!$I$12),IF(AU34&gt;Steuern!$F$12,INT(AU34*Steuern!$H$14-Steuern!$I$14),0))))</f>
        <v>54841</v>
      </c>
      <c r="AW34" s="235">
        <f>IF(AND(AU34/2&gt;Steuern!$D$6,AU34/2&lt;Steuern!$D$10),INT((Steuern!$H$8*(AU34/2-Steuern!$D$8)/10000+Steuern!$I$8)*(AU34/2-Steuern!$D$6)/10000),IF(AND(AU34/2&gt;Steuern!$F$8,AU34/2&lt;Steuern!$D$12),INT((Steuern!$H$10*(AU34/2-Steuern!$F$8)/10000+Steuern!$I$10)*(AU34/2-Steuern!$F$8)/10000+Steuern!$J$10),IF(AND(AU34/2&gt;Steuern!$F$10,AU34/2&lt;Steuern!$D$14),INT(AU34/2*Steuern!$H$12-Steuern!$I$12),IF(AU34/2&gt;Steuern!$F$12,INT(AU34/2*Steuern!$H$14-Steuern!$I$14),0))))*2</f>
        <v>44868</v>
      </c>
      <c r="AX34" s="235">
        <f t="shared" si="18"/>
        <v>152941.67066390379</v>
      </c>
      <c r="AY34" s="235">
        <f>IF(AND(AX34&gt;Steuern!$D$6,AX34&lt;Steuern!$D$10),INT((Steuern!N29*(AX34-Steuern!$D$8)/10000+Steuern!$I$8)*(AX34-Steuern!$D$6)/10000),IF(AND(AX34&gt;Steuern!$F$8,AX34&lt;Steuern!$D$12),INT((Steuern!$H$10*(AX34-Steuern!$F$8)/10000+Steuern!$I$10)*(AX34-Steuern!$F$8)/10000+Steuern!$J$10),IF(AND(AX34&gt;Steuern!$F$10,AX34&lt;Steuern!$D$14),INT(AX34*Steuern!$H$12-Steuern!$I$12),IF(AX34&gt;Steuern!$F$12,INT(AX34*Steuern!$H$14-Steuern!$I$14),0))))</f>
        <v>54262</v>
      </c>
      <c r="AZ34" s="235">
        <f t="shared" si="19"/>
        <v>153903.4557813209</v>
      </c>
      <c r="BA34" s="235">
        <f>IF(AND(AZ34&gt;Steuern!$D$6,AZ34&lt;Steuern!$D$10),INT((Steuern!P29*(AZ34-Steuern!$D$8)/10000+Steuern!$I$8)*(AZ34-Steuern!$D$6)/10000),IF(AND(AZ34&gt;Steuern!$F$8,AZ34&lt;Steuern!$D$12),INT((Steuern!$H$10*(AZ34-Steuern!$F$8)/10000+Steuern!$I$10)*(AZ34-Steuern!$F$8)/10000+Steuern!$J$10),IF(AND(AZ34&gt;Steuern!$F$10,AZ34&lt;Steuern!$D$14),INT(AZ34*Steuern!$H$12-Steuern!$I$12),IF(AZ34&gt;Steuern!$F$12,INT(AZ34*Steuern!$H$14-Steuern!$I$14),0))))</f>
        <v>54666</v>
      </c>
      <c r="BB34" s="235">
        <f t="shared" ref="BB34:BC34" si="145">AC34-AO34</f>
        <v>-4081</v>
      </c>
      <c r="BC34" s="235">
        <f t="shared" si="145"/>
        <v>-4080</v>
      </c>
      <c r="BD34" s="235">
        <f t="shared" si="21"/>
        <v>-3502</v>
      </c>
      <c r="BE34" s="235">
        <f t="shared" si="22"/>
        <v>-3906</v>
      </c>
      <c r="BF34" s="235">
        <f t="shared" ref="BF34:BG34" si="146">AC34-AV34</f>
        <v>-5146</v>
      </c>
      <c r="BG34" s="235">
        <f t="shared" si="146"/>
        <v>-5146</v>
      </c>
      <c r="BH34" s="235">
        <f t="shared" si="24"/>
        <v>-4567</v>
      </c>
      <c r="BI34" s="235">
        <f t="shared" si="25"/>
        <v>-4971</v>
      </c>
      <c r="BJ34" s="241">
        <f t="shared" si="26"/>
        <v>-2091.2516542537378</v>
      </c>
      <c r="BK34" s="241">
        <f t="shared" si="27"/>
        <v>-2090.2516542537378</v>
      </c>
      <c r="BL34" s="241">
        <f t="shared" si="28"/>
        <v>-1323.6495206968866</v>
      </c>
      <c r="BM34" s="241">
        <f t="shared" si="29"/>
        <v>6.3900062875836738</v>
      </c>
      <c r="BN34" s="241">
        <f t="shared" si="30"/>
        <v>-2091.2516542537378</v>
      </c>
      <c r="BO34" s="241">
        <f t="shared" si="31"/>
        <v>-94353.834366940529</v>
      </c>
      <c r="BP34" s="241">
        <f t="shared" si="32"/>
        <v>-2090.2516542537378</v>
      </c>
      <c r="BQ34" s="241">
        <f t="shared" si="33"/>
        <v>-95645.834366940529</v>
      </c>
      <c r="BR34" s="241">
        <f t="shared" si="34"/>
        <v>-1323.6495206968866</v>
      </c>
      <c r="BS34" s="241">
        <f t="shared" si="35"/>
        <v>-80321.791695803477</v>
      </c>
      <c r="BT34" s="241">
        <f t="shared" si="36"/>
        <v>6.3900062875836738</v>
      </c>
      <c r="BU34" s="241">
        <f t="shared" si="37"/>
        <v>-67269.209458820696</v>
      </c>
      <c r="BV34" s="241">
        <f t="shared" si="38"/>
        <v>-620.34543650904743</v>
      </c>
      <c r="BW34" s="241">
        <f t="shared" si="39"/>
        <v>-620.34543650904743</v>
      </c>
      <c r="BX34" s="241">
        <f t="shared" si="40"/>
        <v>147.25669704780375</v>
      </c>
      <c r="BY34" s="241">
        <f t="shared" si="41"/>
        <v>1477.296224032274</v>
      </c>
      <c r="BZ34" s="241">
        <f t="shared" si="42"/>
        <v>-620.34543650904743</v>
      </c>
      <c r="CA34" s="241">
        <f t="shared" si="43"/>
        <v>-60757.617261961146</v>
      </c>
      <c r="CB34" s="241">
        <f t="shared" si="44"/>
        <v>-620.34543650904743</v>
      </c>
      <c r="CC34" s="241">
        <f t="shared" si="45"/>
        <v>-60288.617261961146</v>
      </c>
      <c r="CD34" s="241">
        <f t="shared" si="46"/>
        <v>147.25669704780375</v>
      </c>
      <c r="CE34" s="241">
        <f t="shared" si="47"/>
        <v>-46719.574590824093</v>
      </c>
      <c r="CF34" s="241">
        <f t="shared" si="48"/>
        <v>1477.296224032274</v>
      </c>
      <c r="CG34" s="241">
        <f t="shared" si="49"/>
        <v>-33668.992353841313</v>
      </c>
      <c r="CH34" s="254"/>
      <c r="CI34" s="242">
        <f t="shared" ca="1" si="64"/>
        <v>56493</v>
      </c>
      <c r="CJ34" s="241">
        <f t="shared" si="50"/>
        <v>-2091.2516542537378</v>
      </c>
      <c r="CK34" s="258"/>
      <c r="CL34" s="254"/>
      <c r="CM34" s="241">
        <f t="shared" si="53"/>
        <v>-2091.2516542537378</v>
      </c>
      <c r="CN34" s="241">
        <f t="shared" si="54"/>
        <v>-2091.2516542537378</v>
      </c>
      <c r="CO34" s="258"/>
      <c r="CP34" s="254"/>
      <c r="CQ34" s="235"/>
      <c r="CR34" s="235"/>
      <c r="CS34" s="258"/>
      <c r="CT34" s="254"/>
      <c r="CU34" s="235"/>
      <c r="CV34" s="235"/>
      <c r="CW34" s="258"/>
      <c r="CX34" s="254"/>
      <c r="CY34" s="235"/>
      <c r="CZ34" s="235"/>
      <c r="DA34" s="241">
        <f t="shared" si="55"/>
        <v>-620.34543650904743</v>
      </c>
      <c r="DB34" s="258"/>
      <c r="DC34" s="254"/>
      <c r="DD34" s="241">
        <f t="shared" si="58"/>
        <v>-620.34543650904743</v>
      </c>
      <c r="DE34" s="241">
        <f t="shared" si="59"/>
        <v>-620.34543650904743</v>
      </c>
      <c r="DF34" s="258"/>
      <c r="DG34" s="254"/>
      <c r="DH34" s="235"/>
      <c r="DI34" s="235"/>
      <c r="DJ34" s="258"/>
      <c r="DK34" s="254"/>
      <c r="DL34" s="235"/>
      <c r="DM34" s="235"/>
      <c r="DN34" s="258"/>
      <c r="DO34" s="254"/>
      <c r="DP34" s="235"/>
      <c r="DQ34" s="235"/>
      <c r="DR34" s="235"/>
      <c r="DS34" s="241">
        <f t="shared" si="3"/>
        <v>-620.34543650904743</v>
      </c>
    </row>
    <row r="35" spans="1:123" ht="15.75" customHeight="1">
      <c r="A35" s="243">
        <v>31</v>
      </c>
      <c r="B35" s="244">
        <f>B34*(1+'Immobilie als Kapitalanlage'!$D$47)</f>
        <v>338970.52371707244</v>
      </c>
      <c r="C35" s="241">
        <f>$C$4*(1+'Immobilie als Kapitalanlage'!$D$47)^A35</f>
        <v>0</v>
      </c>
      <c r="D35" s="244">
        <f t="shared" si="69"/>
        <v>338970.52371707244</v>
      </c>
      <c r="E35" s="138"/>
      <c r="F35" s="245">
        <f>MAX(-FV('Immobilie als Kapitalanlage'!$D$26/12,A35*12,(-I35/12),'Immobilie als Kapitalanlage'!$C$25,0),0)</f>
        <v>40398.126861488796</v>
      </c>
      <c r="G35" s="245">
        <f>IF(I35-H35&gt;G34,F34*'Immobilie als Kapitalanlage'!$D$26,I35-H35)</f>
        <v>1620.3429188062437</v>
      </c>
      <c r="H35" s="241">
        <f t="shared" si="4"/>
        <v>10829.657081193756</v>
      </c>
      <c r="I35" s="241">
        <f>$F$4*('Immobilie als Kapitalanlage'!$D$26+'Immobilie als Kapitalanlage'!$D$36)</f>
        <v>12450</v>
      </c>
      <c r="J35" s="245">
        <f>MAX((-FV('Immobilie als Kapitalanlage'!$C$85/12,(A35-$A$14)*12,(-M35/12),$J$14,0)),0)</f>
        <v>70182.86091195175</v>
      </c>
      <c r="K35" s="241">
        <f t="shared" si="98"/>
        <v>3009.0059433580591</v>
      </c>
      <c r="L35" s="241">
        <f t="shared" si="99"/>
        <v>9252.3919230850879</v>
      </c>
      <c r="M35" s="241">
        <f>$J$14*('Immobilie als Kapitalanlage'!$C$85+'Immobilie als Kapitalanlage'!$C$86)</f>
        <v>12261.397866443147</v>
      </c>
      <c r="N35" s="245">
        <f>MAX((-FV('Immobilie als Kapitalanlage'!$C$88/12,(A35-$A$19)*12,(-Q35/12),$N$19,0)),0)</f>
        <v>67531.835128324106</v>
      </c>
      <c r="O35" s="245">
        <f t="shared" si="115"/>
        <v>2162.506122755558</v>
      </c>
      <c r="P35" s="241">
        <f t="shared" si="116"/>
        <v>8364.8522167031188</v>
      </c>
      <c r="Q35" s="241">
        <f>$N$19*('Immobilie als Kapitalanlage'!$C$88+'Immobilie als Kapitalanlage'!$C$89)</f>
        <v>10527.358339458677</v>
      </c>
      <c r="R35" s="250">
        <f t="shared" si="6"/>
        <v>-2638.7915557217652</v>
      </c>
      <c r="S35" s="250">
        <f>'Immobilie als Kapitalanlage'!$C$27*12*(1+'Immobilie als Kapitalanlage'!$D$44)^A34</f>
        <v>-443.42131578850092</v>
      </c>
      <c r="T35" s="250">
        <f>'Immobilie als Kapitalanlage'!$C$29*12*(1+'Immobilie als Kapitalanlage'!$D$44)^A34</f>
        <v>-1543.2800696560571</v>
      </c>
      <c r="U35" s="250">
        <f>'Immobilie als Kapitalanlage'!$C$30*12*(1+'Immobilie als Kapitalanlage'!$D$44)^A34</f>
        <v>-652.09017027720722</v>
      </c>
      <c r="V35" s="250">
        <f>'Immobilie als Kapitalanlage'!$C$28*12*(1+'Immobilie als Kapitalanlage'!$D$44)^A34</f>
        <v>-1108.5532894712524</v>
      </c>
      <c r="W35" s="241">
        <f>$W$5*(1+'Immobilie als Kapitalanlage'!$D$43)^A34</f>
        <v>18475.888157854206</v>
      </c>
      <c r="X35" s="241">
        <f>$X$5*(1+'Immobilie als Kapitalanlage'!$D$43)^A34</f>
        <v>21062.512499953791</v>
      </c>
      <c r="Y35" s="241">
        <f>-'Immobilie als Kapitalanlage'!$C$25*'Immobilie als Kapitalanlage'!$D$99</f>
        <v>0</v>
      </c>
      <c r="Z35" s="241">
        <f t="shared" si="7"/>
        <v>0</v>
      </c>
      <c r="AA35" s="241">
        <f>FV((((1+'Immobilie als Kapitalanlage'!$D$80)^(1/12)-1)),A35*12,Y35/12,-'Immobilie als Kapitalanlage'!$G$95,)</f>
        <v>0</v>
      </c>
      <c r="AB35" s="241">
        <f>$AB$5*(1+'Immobilie als Kapitalanlage'!$D$51)^A34</f>
        <v>144908.92672826827</v>
      </c>
      <c r="AC35" s="241">
        <f>IF(AND(AB35&gt;Steuern!$D$6,AB35&lt;Steuern!$D$10),INT((Steuern!$H$8*(AB35-Steuern!$D$6)/10000+Steuern!$I$8)*(AB35-Steuern!$D$6)/10000),IF(AND(AB35&gt;Steuern!$F$8,AB35&lt;Steuern!$D$12),INT((Steuern!$H$10*(AB35-Steuern!$F$8)/10000+Steuern!$I$10)*(AB35-Steuern!$F$8)/10000+Steuern!$J$10),IF(AND(AB35&gt;Steuern!$F$10,AB35&lt;Steuern!$D$14),INT(AB35*Steuern!$H$12-Steuern!$I$12),IF(AB35&gt;Steuern!$F$12,INT(AB35*Steuern!$H$14-Steuern!$I$14),0))))</f>
        <v>50888</v>
      </c>
      <c r="AD35" s="241">
        <f>IF(AND(AB35/2&gt;Steuern!$D$6,AB35/2&lt;Steuern!$D$10),INT((Steuern!$H$8*(AB35/2-Steuern!$D$8)/10000+Steuern!$I$8)*(AB35/2-Steuern!$D$6)/10000),IF(AND(AB35/2&gt;Steuern!$F$8,AB35/2&lt;Steuern!$D$12),INT((Steuern!$H$10*(AB35/2-Steuern!$F$8)/10000+Steuern!$I$10)*(AB35/2-Steuern!$F$8)/10000+Steuern!$J$10),IF(AND(AB35/2&gt;Steuern!$F$10,AB35/2&lt;Steuern!$D$14),INT(AB35/2*Steuern!$H$12-Steuern!$I$12),IF(AB35/2&gt;Steuern!$F$12,INT(AB35/2*Steuern!$H$14-Steuern!$I$14),0))))*2</f>
        <v>40914</v>
      </c>
      <c r="AE35" s="241">
        <f t="shared" si="8"/>
        <v>14216.753683326197</v>
      </c>
      <c r="AF35" s="241">
        <f t="shared" si="9"/>
        <v>12828.090658774381</v>
      </c>
      <c r="AG35" s="241">
        <f t="shared" si="10"/>
        <v>13674.590479376882</v>
      </c>
      <c r="AH35" s="241">
        <f t="shared" si="11"/>
        <v>16803.37802542578</v>
      </c>
      <c r="AI35" s="241">
        <f t="shared" si="12"/>
        <v>15414.715000873966</v>
      </c>
      <c r="AJ35" s="241">
        <f t="shared" si="13"/>
        <v>16261.214821476467</v>
      </c>
      <c r="AK35" s="248"/>
      <c r="AL35" s="241">
        <f>('Immobilie als Kapitalanlage'!$C$16+'Immobilie als Kapitalanlage'!$C$20+'Immobilie als Kapitalanlage'!$C$15)*(1-'Immobilie als Kapitalanlage'!$D$53)</f>
        <v>190858.5</v>
      </c>
      <c r="AM35" s="241">
        <f>AL35*'Immobilie als Kapitalanlage'!$D$52</f>
        <v>3817.17</v>
      </c>
      <c r="AN35" s="241">
        <f t="shared" si="14"/>
        <v>155308.51041159444</v>
      </c>
      <c r="AO35" s="241">
        <f>IF(AND(AN35&gt;Steuern!$D$6,AN35&lt;Steuern!$D$10),INT((Steuern!H30*(AN35-Steuern!$D$8)/10000+Steuern!$I$8)*(AN35-Steuern!$D$6)/10000),IF(AND(AN35&gt;Steuern!$F$8,AN35&lt;Steuern!$D$12),INT((Steuern!$H$10*(AN35-Steuern!$F$8)/10000+Steuern!$I$10)*(AN35-Steuern!$F$8)/10000+Steuern!$J$10),IF(AND(AN35&gt;Steuern!$F$10,AN35&lt;Steuern!$D$14),INT(AN35*Steuern!$H$12-Steuern!$I$12),IF(AN35&gt;Steuern!$F$12,INT(AN35*Steuern!$H$14-Steuern!$I$14),0))))</f>
        <v>55256</v>
      </c>
      <c r="AP35" s="241">
        <f>IF(AND(AN35/2&gt;Steuern!$D$6,AN35/2&lt;Steuern!$D$10),INT((Steuern!$H$8*(AN35/2-Steuern!$D$8)/10000+Steuern!$I$8)*(AN35/2-Steuern!$D$6)/10000),IF(AND(AN35/2&gt;Steuern!$F$8,AN35/2&lt;Steuern!$D$12),INT((Steuern!$H$10*(AN35/2-Steuern!$F$8)/10000+Steuern!$I$10)*(AN35/2-Steuern!$F$8)/10000+Steuern!$J$10),IF(AND(AN35/2&gt;Steuern!$F$10,AN35/2&lt;Steuern!$D$14),INT(AN35/2*Steuern!$H$12-Steuern!$I$12),IF(AN35/2&gt;Steuern!$F$12,INT(AN35/2*Steuern!$H$14-Steuern!$I$14),0))))*2</f>
        <v>45282</v>
      </c>
      <c r="AQ35" s="241">
        <f t="shared" si="15"/>
        <v>153919.84738704262</v>
      </c>
      <c r="AR35" s="241">
        <f>IF(AND(AQ35&gt;Steuern!$D$6,AQ35&lt;Steuern!$D$10),INT((Steuern!$H$8*(AQ35-Steuern!$D$6)/10000+Steuern!$I$8)*(AQ35-Steuern!$D$6)/10000),IF(AND(AQ35&gt;Steuern!$F$8,AQ35&lt;Steuern!$D$12),INT((Steuern!$H$10*(AQ35-Steuern!$F$8)/10000+Steuern!$I$10)*(AQ35-Steuern!$F$8)/10000+Steuern!$J$10),IF(AND(AQ35&gt;Steuern!$F$10,AQ35&lt;Steuern!$D$14),INT(AQ35*Steuern!$H$12-Steuern!$I$12),IF(AQ35&gt;Steuern!$F$12,INT(AQ35*Steuern!$H$14-Steuern!$I$14),0))))</f>
        <v>54673</v>
      </c>
      <c r="AS35" s="241">
        <f t="shared" si="16"/>
        <v>154766.34720764513</v>
      </c>
      <c r="AT35" s="241">
        <f>IF(AND(AS35&gt;Steuern!$D$6,AS35&lt;Steuern!$D$10),INT((Steuern!$H$8*(AS35-Steuern!$D$6)/10000+Steuern!$I$8)*(AS35-Steuern!$D$6)/10000),IF(AND(AS35&gt;Steuern!$F$8,AS35&lt;Steuern!$D$12),INT((Steuern!$H$10*(AS35-Steuern!$F$8)/10000+Steuern!$I$10)*(AS35-Steuern!$F$8)/10000+Steuern!$J$10),IF(AND(AS35&gt;Steuern!$F$10,AS35&lt;Steuern!$D$14),INT(AS35*Steuern!$H$12-Steuern!$I$12),IF(AS35&gt;Steuern!$F$12,INT(AS35*Steuern!$H$14-Steuern!$I$14),0))))</f>
        <v>55028</v>
      </c>
      <c r="AU35" s="241">
        <f t="shared" si="17"/>
        <v>157895.13475369403</v>
      </c>
      <c r="AV35" s="241">
        <f>IF(AND(AU35&gt;Steuern!$D$6,AU35&lt;Steuern!$D$10),INT((Steuern!$H$8*(AU35-Steuern!$D$6)/10000+Steuern!$I$8)*(AU35-Steuern!$D$6)/10000),IF(AND(AU35&gt;Steuern!$F$8,AU35&lt;Steuern!$D$12),INT((Steuern!$H$10*(AU35-Steuern!$F$8)/10000+Steuern!$I$10)*(AU35-Steuern!$F$8)/10000+Steuern!$J$10),IF(AND(AU35&gt;Steuern!$F$10,AU35&lt;Steuern!$D$14),INT(AU35*Steuern!$H$12-Steuern!$I$12),IF(AU35&gt;Steuern!$F$12,INT(AU35*Steuern!$H$14-Steuern!$I$14),0))))</f>
        <v>56342</v>
      </c>
      <c r="AW35" s="241">
        <f>IF(AND(AU35/2&gt;Steuern!$D$6,AU35/2&lt;Steuern!$D$10),INT((Steuern!$H$8*(AU35/2-Steuern!$D$8)/10000+Steuern!$I$8)*(AU35/2-Steuern!$D$6)/10000),IF(AND(AU35/2&gt;Steuern!$F$8,AU35/2&lt;Steuern!$D$12),INT((Steuern!$H$10*(AU35/2-Steuern!$F$8)/10000+Steuern!$I$10)*(AU35/2-Steuern!$F$8)/10000+Steuern!$J$10),IF(AND(AU35/2&gt;Steuern!$F$10,AU35/2&lt;Steuern!$D$14),INT(AU35/2*Steuern!$H$12-Steuern!$I$12),IF(AU35/2&gt;Steuern!$F$12,INT(AU35/2*Steuern!$H$14-Steuern!$I$14),0))))*2</f>
        <v>46368</v>
      </c>
      <c r="AX35" s="241">
        <f t="shared" si="18"/>
        <v>156506.47172914221</v>
      </c>
      <c r="AY35" s="241">
        <f>IF(AND(AX35&gt;Steuern!$D$6,AX35&lt;Steuern!$D$10),INT((Steuern!N30*(AX35-Steuern!$D$8)/10000+Steuern!$I$8)*(AX35-Steuern!$D$6)/10000),IF(AND(AX35&gt;Steuern!$F$8,AX35&lt;Steuern!$D$12),INT((Steuern!$H$10*(AX35-Steuern!$F$8)/10000+Steuern!$I$10)*(AX35-Steuern!$F$8)/10000+Steuern!$J$10),IF(AND(AX35&gt;Steuern!$F$10,AX35&lt;Steuern!$D$14),INT(AX35*Steuern!$H$12-Steuern!$I$12),IF(AX35&gt;Steuern!$F$12,INT(AX35*Steuern!$H$14-Steuern!$I$14),0))))</f>
        <v>55759</v>
      </c>
      <c r="AZ35" s="241">
        <f t="shared" si="19"/>
        <v>157352.97154974472</v>
      </c>
      <c r="BA35" s="241">
        <f>IF(AND(AZ35&gt;Steuern!$D$6,AZ35&lt;Steuern!$D$10),INT((Steuern!P30*(AZ35-Steuern!$D$8)/10000+Steuern!$I$8)*(AZ35-Steuern!$D$6)/10000),IF(AND(AZ35&gt;Steuern!$F$8,AZ35&lt;Steuern!$D$12),INT((Steuern!$H$10*(AZ35-Steuern!$F$8)/10000+Steuern!$I$10)*(AZ35-Steuern!$F$8)/10000+Steuern!$J$10),IF(AND(AZ35&gt;Steuern!$F$10,AZ35&lt;Steuern!$D$14),INT(AZ35*Steuern!$H$12-Steuern!$I$12),IF(AZ35&gt;Steuern!$F$12,INT(AZ35*Steuern!$H$14-Steuern!$I$14),0))))</f>
        <v>56115</v>
      </c>
      <c r="BB35" s="241">
        <f t="shared" ref="BB35:BC35" si="147">AC35-AO35</f>
        <v>-4368</v>
      </c>
      <c r="BC35" s="241">
        <f t="shared" si="147"/>
        <v>-4368</v>
      </c>
      <c r="BD35" s="241">
        <f t="shared" si="21"/>
        <v>-3785</v>
      </c>
      <c r="BE35" s="241">
        <f t="shared" si="22"/>
        <v>-4140</v>
      </c>
      <c r="BF35" s="241">
        <f t="shared" ref="BF35:BG35" si="148">AC35-AV35</f>
        <v>-5454</v>
      </c>
      <c r="BG35" s="241">
        <f t="shared" si="148"/>
        <v>-5454</v>
      </c>
      <c r="BH35" s="241">
        <f t="shared" si="24"/>
        <v>-4871</v>
      </c>
      <c r="BI35" s="241">
        <f t="shared" si="25"/>
        <v>-5227</v>
      </c>
      <c r="BJ35" s="241">
        <f t="shared" si="26"/>
        <v>-2089.4566873388121</v>
      </c>
      <c r="BK35" s="241">
        <f t="shared" si="27"/>
        <v>-2089.4566873388121</v>
      </c>
      <c r="BL35" s="241">
        <f t="shared" si="28"/>
        <v>-1317.8545537819591</v>
      </c>
      <c r="BM35" s="241">
        <f t="shared" si="29"/>
        <v>61.184973202511173</v>
      </c>
      <c r="BN35" s="241">
        <f t="shared" si="30"/>
        <v>-2089.4566873388121</v>
      </c>
      <c r="BO35" s="241">
        <f t="shared" si="31"/>
        <v>-96443.29105427934</v>
      </c>
      <c r="BP35" s="241">
        <f t="shared" si="32"/>
        <v>-2089.4566873388121</v>
      </c>
      <c r="BQ35" s="241">
        <f t="shared" si="33"/>
        <v>-97735.29105427934</v>
      </c>
      <c r="BR35" s="241">
        <f t="shared" si="34"/>
        <v>-1317.8545537819591</v>
      </c>
      <c r="BS35" s="241">
        <f t="shared" si="35"/>
        <v>-81639.646249585436</v>
      </c>
      <c r="BT35" s="241">
        <f t="shared" si="36"/>
        <v>61.184973202511173</v>
      </c>
      <c r="BU35" s="241">
        <f t="shared" si="37"/>
        <v>-67208.024485618182</v>
      </c>
      <c r="BV35" s="241">
        <f t="shared" si="38"/>
        <v>-588.83234523922692</v>
      </c>
      <c r="BW35" s="241">
        <f t="shared" si="39"/>
        <v>-588.83234523922692</v>
      </c>
      <c r="BX35" s="241">
        <f t="shared" si="40"/>
        <v>182.76978831762608</v>
      </c>
      <c r="BY35" s="241">
        <f t="shared" si="41"/>
        <v>1560.8093153020964</v>
      </c>
      <c r="BZ35" s="241">
        <f t="shared" si="42"/>
        <v>-588.83234523922692</v>
      </c>
      <c r="CA35" s="241">
        <f t="shared" si="43"/>
        <v>-61346.449607200375</v>
      </c>
      <c r="CB35" s="241">
        <f t="shared" si="44"/>
        <v>-588.83234523922692</v>
      </c>
      <c r="CC35" s="241">
        <f t="shared" si="45"/>
        <v>-60877.449607200375</v>
      </c>
      <c r="CD35" s="241">
        <f t="shared" si="46"/>
        <v>182.76978831762608</v>
      </c>
      <c r="CE35" s="241">
        <f t="shared" si="47"/>
        <v>-46536.804802506464</v>
      </c>
      <c r="CF35" s="241">
        <f t="shared" si="48"/>
        <v>1560.8093153020964</v>
      </c>
      <c r="CG35" s="241">
        <f t="shared" si="49"/>
        <v>-32108.183038539217</v>
      </c>
      <c r="CH35" s="248"/>
      <c r="CI35" s="249">
        <f t="shared" ca="1" si="64"/>
        <v>56858</v>
      </c>
      <c r="CJ35" s="241">
        <f t="shared" si="50"/>
        <v>-2089.4566873388121</v>
      </c>
      <c r="CK35" s="257"/>
      <c r="CL35" s="248"/>
      <c r="CM35" s="241">
        <v>0</v>
      </c>
      <c r="CN35" s="241">
        <f t="shared" si="54"/>
        <v>-2089.4566873388121</v>
      </c>
      <c r="CO35" s="257"/>
      <c r="CP35" s="248"/>
      <c r="CQ35" s="241"/>
      <c r="CR35" s="241"/>
      <c r="CS35" s="257"/>
      <c r="CT35" s="248"/>
      <c r="CU35" s="241"/>
      <c r="CV35" s="241"/>
      <c r="CW35" s="257"/>
      <c r="CX35" s="248"/>
      <c r="CY35" s="241"/>
      <c r="CZ35" s="241"/>
      <c r="DA35" s="241">
        <f t="shared" si="55"/>
        <v>-588.83234523922692</v>
      </c>
      <c r="DB35" s="257"/>
      <c r="DC35" s="248"/>
      <c r="DD35" s="241">
        <v>0</v>
      </c>
      <c r="DE35" s="241">
        <f t="shared" si="59"/>
        <v>-588.83234523922692</v>
      </c>
      <c r="DF35" s="257"/>
      <c r="DG35" s="248"/>
      <c r="DH35" s="241"/>
      <c r="DI35" s="241"/>
      <c r="DJ35" s="257"/>
      <c r="DK35" s="248"/>
      <c r="DL35" s="241"/>
      <c r="DM35" s="241"/>
      <c r="DN35" s="257"/>
      <c r="DO35" s="248"/>
      <c r="DP35" s="241"/>
      <c r="DQ35" s="241"/>
      <c r="DR35" s="241"/>
      <c r="DS35" s="241">
        <f t="shared" si="3"/>
        <v>-588.83234523922692</v>
      </c>
    </row>
    <row r="36" spans="1:123" ht="15.75" customHeight="1">
      <c r="A36" s="243">
        <v>32</v>
      </c>
      <c r="B36" s="244">
        <f>B35*(1+'Immobilie als Kapitalanlage'!$D$47)</f>
        <v>342360.22895424318</v>
      </c>
      <c r="C36" s="241">
        <f>$C$4*(1+'Immobilie als Kapitalanlage'!$D$47)^A36</f>
        <v>0</v>
      </c>
      <c r="D36" s="244">
        <f t="shared" si="69"/>
        <v>342360.22895424318</v>
      </c>
      <c r="E36" s="138"/>
      <c r="F36" s="245">
        <f>MAX(-FV('Immobilie als Kapitalanlage'!$D$26/12,A36*12,(-I36/12),'Immobilie als Kapitalanlage'!$C$25,0),0)</f>
        <v>29183.291876467294</v>
      </c>
      <c r="G36" s="245">
        <f>IF(I36-H36&gt;G35,F35*'Immobilie als Kapitalanlage'!$D$26,I36-H36)</f>
        <v>1235.1650149784982</v>
      </c>
      <c r="H36" s="241">
        <f t="shared" si="4"/>
        <v>11214.834985021502</v>
      </c>
      <c r="I36" s="241">
        <f>$F$4*('Immobilie als Kapitalanlage'!$D$26+'Immobilie als Kapitalanlage'!$D$36)</f>
        <v>12450</v>
      </c>
      <c r="J36" s="245">
        <f>MAX((-FV('Immobilie als Kapitalanlage'!$C$85/12,(A36-$A$14)*12,(-M36/12),$J$14,0)),0)</f>
        <v>60553.512266221689</v>
      </c>
      <c r="K36" s="241">
        <f t="shared" si="98"/>
        <v>2632.0492207130865</v>
      </c>
      <c r="L36" s="241">
        <f t="shared" si="99"/>
        <v>9629.3486457300605</v>
      </c>
      <c r="M36" s="241">
        <f>$J$14*('Immobilie als Kapitalanlage'!$C$85+'Immobilie als Kapitalanlage'!$C$86)</f>
        <v>12261.397866443147</v>
      </c>
      <c r="N36" s="245">
        <f>MAX((-FV('Immobilie als Kapitalanlage'!$C$88/12,(A36-$A$19)*12,(-Q36/12),$N$19,0)),0)</f>
        <v>58912.557927009912</v>
      </c>
      <c r="O36" s="245">
        <f t="shared" si="115"/>
        <v>1908.0811381444819</v>
      </c>
      <c r="P36" s="241">
        <f t="shared" si="116"/>
        <v>8619.2772013141948</v>
      </c>
      <c r="Q36" s="241">
        <f>$N$19*('Immobilie als Kapitalanlage'!$C$88+'Immobilie als Kapitalanlage'!$C$89)</f>
        <v>10527.358339458677</v>
      </c>
      <c r="R36" s="250">
        <f t="shared" si="6"/>
        <v>-2691.5673868362001</v>
      </c>
      <c r="S36" s="250">
        <f>'Immobilie als Kapitalanlage'!$C$27*12*(1+'Immobilie als Kapitalanlage'!$D$44)^A35</f>
        <v>-452.28974210427083</v>
      </c>
      <c r="T36" s="250">
        <f>'Immobilie als Kapitalanlage'!$C$29*12*(1+'Immobilie als Kapitalanlage'!$D$44)^A35</f>
        <v>-1574.145671049178</v>
      </c>
      <c r="U36" s="250">
        <f>'Immobilie als Kapitalanlage'!$C$30*12*(1+'Immobilie als Kapitalanlage'!$D$44)^A35</f>
        <v>-665.13197368275121</v>
      </c>
      <c r="V36" s="250">
        <f>'Immobilie als Kapitalanlage'!$C$28*12*(1+'Immobilie als Kapitalanlage'!$D$44)^A35</f>
        <v>-1130.7243552606772</v>
      </c>
      <c r="W36" s="241">
        <f>$W$5*(1+'Immobilie als Kapitalanlage'!$D$43)^A35</f>
        <v>18845.405921011286</v>
      </c>
      <c r="X36" s="241">
        <f>$X$5*(1+'Immobilie als Kapitalanlage'!$D$43)^A35</f>
        <v>21483.762749952861</v>
      </c>
      <c r="Y36" s="241">
        <f>-'Immobilie als Kapitalanlage'!$C$25*'Immobilie als Kapitalanlage'!$D$99</f>
        <v>0</v>
      </c>
      <c r="Z36" s="241">
        <f t="shared" si="7"/>
        <v>0</v>
      </c>
      <c r="AA36" s="241">
        <f>FV((((1+'Immobilie als Kapitalanlage'!$D$80)^(1/12)-1)),A36*12,Y36/12,-'Immobilie als Kapitalanlage'!$G$95,)</f>
        <v>0</v>
      </c>
      <c r="AB36" s="241">
        <f>$AB$5*(1+'Immobilie als Kapitalanlage'!$D$51)^A35</f>
        <v>147807.10526283362</v>
      </c>
      <c r="AC36" s="241">
        <f>IF(AND(AB36&gt;Steuern!$D$6,AB36&lt;Steuern!$D$10),INT((Steuern!$H$8*(AB36-Steuern!$D$6)/10000+Steuern!$I$8)*(AB36-Steuern!$D$6)/10000),IF(AND(AB36&gt;Steuern!$F$8,AB36&lt;Steuern!$D$12),INT((Steuern!$H$10*(AB36-Steuern!$F$8)/10000+Steuern!$I$10)*(AB36-Steuern!$F$8)/10000+Steuern!$J$10),IF(AND(AB36&gt;Steuern!$F$10,AB36&lt;Steuern!$D$14),INT(AB36*Steuern!$H$12-Steuern!$I$12),IF(AB36&gt;Steuern!$F$12,INT(AB36*Steuern!$H$14-Steuern!$I$14),0))))</f>
        <v>52106</v>
      </c>
      <c r="AD36" s="241">
        <f>IF(AND(AB36/2&gt;Steuern!$D$6,AB36/2&lt;Steuern!$D$10),INT((Steuern!$H$8*(AB36/2-Steuern!$D$8)/10000+Steuern!$I$8)*(AB36/2-Steuern!$D$6)/10000),IF(AND(AB36/2&gt;Steuern!$F$8,AB36/2&lt;Steuern!$D$12),INT((Steuern!$H$10*(AB36/2-Steuern!$F$8)/10000+Steuern!$I$10)*(AB36/2-Steuern!$F$8)/10000+Steuern!$J$10),IF(AND(AB36/2&gt;Steuern!$F$10,AB36/2&lt;Steuern!$D$14),INT(AB36/2*Steuern!$H$12-Steuern!$I$12),IF(AB36/2&gt;Steuern!$F$12,INT(AB36/2*Steuern!$H$14-Steuern!$I$14),0))))*2</f>
        <v>42132</v>
      </c>
      <c r="AE36" s="241">
        <f t="shared" si="8"/>
        <v>14918.673519196589</v>
      </c>
      <c r="AF36" s="241">
        <f t="shared" si="9"/>
        <v>13521.789313461999</v>
      </c>
      <c r="AG36" s="241">
        <f t="shared" si="10"/>
        <v>14245.757396030604</v>
      </c>
      <c r="AH36" s="241">
        <f t="shared" si="11"/>
        <v>17557.030348138163</v>
      </c>
      <c r="AI36" s="241">
        <f t="shared" si="12"/>
        <v>16160.146142403573</v>
      </c>
      <c r="AJ36" s="241">
        <f t="shared" si="13"/>
        <v>16884.114224972178</v>
      </c>
      <c r="AK36" s="248"/>
      <c r="AL36" s="241">
        <f>('Immobilie als Kapitalanlage'!$C$16+'Immobilie als Kapitalanlage'!$C$20+'Immobilie als Kapitalanlage'!$C$15)*(1-'Immobilie als Kapitalanlage'!$D$53)</f>
        <v>190858.5</v>
      </c>
      <c r="AM36" s="241">
        <f>AL36*'Immobilie als Kapitalanlage'!$D$52</f>
        <v>3817.17</v>
      </c>
      <c r="AN36" s="241">
        <f t="shared" si="14"/>
        <v>158908.60878203021</v>
      </c>
      <c r="AO36" s="241">
        <f>IF(AND(AN36&gt;Steuern!$D$6,AN36&lt;Steuern!$D$10),INT((Steuern!H31*(AN36-Steuern!$D$8)/10000+Steuern!$I$8)*(AN36-Steuern!$D$6)/10000),IF(AND(AN36&gt;Steuern!$F$8,AN36&lt;Steuern!$D$12),INT((Steuern!$H$10*(AN36-Steuern!$F$8)/10000+Steuern!$I$10)*(AN36-Steuern!$F$8)/10000+Steuern!$J$10),IF(AND(AN36&gt;Steuern!$F$10,AN36&lt;Steuern!$D$14),INT(AN36*Steuern!$H$12-Steuern!$I$12),IF(AN36&gt;Steuern!$F$12,INT(AN36*Steuern!$H$14-Steuern!$I$14),0))))</f>
        <v>56768</v>
      </c>
      <c r="AP36" s="241">
        <f>IF(AND(AN36/2&gt;Steuern!$D$6,AN36/2&lt;Steuern!$D$10),INT((Steuern!$H$8*(AN36/2-Steuern!$D$8)/10000+Steuern!$I$8)*(AN36/2-Steuern!$D$6)/10000),IF(AND(AN36/2&gt;Steuern!$F$8,AN36/2&lt;Steuern!$D$12),INT((Steuern!$H$10*(AN36/2-Steuern!$F$8)/10000+Steuern!$I$10)*(AN36/2-Steuern!$F$8)/10000+Steuern!$J$10),IF(AND(AN36/2&gt;Steuern!$F$10,AN36/2&lt;Steuern!$D$14),INT(AN36/2*Steuern!$H$12-Steuern!$I$12),IF(AN36/2&gt;Steuern!$F$12,INT(AN36/2*Steuern!$H$14-Steuern!$I$14),0))))*2</f>
        <v>46794</v>
      </c>
      <c r="AQ36" s="241">
        <f t="shared" si="15"/>
        <v>157511.72457629562</v>
      </c>
      <c r="AR36" s="241">
        <f>IF(AND(AQ36&gt;Steuern!$D$6,AQ36&lt;Steuern!$D$10),INT((Steuern!$H$8*(AQ36-Steuern!$D$6)/10000+Steuern!$I$8)*(AQ36-Steuern!$D$6)/10000),IF(AND(AQ36&gt;Steuern!$F$8,AQ36&lt;Steuern!$D$12),INT((Steuern!$H$10*(AQ36-Steuern!$F$8)/10000+Steuern!$I$10)*(AQ36-Steuern!$F$8)/10000+Steuern!$J$10),IF(AND(AQ36&gt;Steuern!$F$10,AQ36&lt;Steuern!$D$14),INT(AQ36*Steuern!$H$12-Steuern!$I$12),IF(AQ36&gt;Steuern!$F$12,INT(AQ36*Steuern!$H$14-Steuern!$I$14),0))))</f>
        <v>56181</v>
      </c>
      <c r="AS36" s="241">
        <f t="shared" si="16"/>
        <v>158235.69265886422</v>
      </c>
      <c r="AT36" s="241">
        <f>IF(AND(AS36&gt;Steuern!$D$6,AS36&lt;Steuern!$D$10),INT((Steuern!$H$8*(AS36-Steuern!$D$6)/10000+Steuern!$I$8)*(AS36-Steuern!$D$6)/10000),IF(AND(AS36&gt;Steuern!$F$8,AS36&lt;Steuern!$D$12),INT((Steuern!$H$10*(AS36-Steuern!$F$8)/10000+Steuern!$I$10)*(AS36-Steuern!$F$8)/10000+Steuern!$J$10),IF(AND(AS36&gt;Steuern!$F$10,AS36&lt;Steuern!$D$14),INT(AS36*Steuern!$H$12-Steuern!$I$12),IF(AS36&gt;Steuern!$F$12,INT(AS36*Steuern!$H$14-Steuern!$I$14),0))))</f>
        <v>56486</v>
      </c>
      <c r="AU36" s="241">
        <f t="shared" si="17"/>
        <v>161546.96561097176</v>
      </c>
      <c r="AV36" s="241">
        <f>IF(AND(AU36&gt;Steuern!$D$6,AU36&lt;Steuern!$D$10),INT((Steuern!$H$8*(AU36-Steuern!$D$6)/10000+Steuern!$I$8)*(AU36-Steuern!$D$6)/10000),IF(AND(AU36&gt;Steuern!$F$8,AU36&lt;Steuern!$D$12),INT((Steuern!$H$10*(AU36-Steuern!$F$8)/10000+Steuern!$I$10)*(AU36-Steuern!$F$8)/10000+Steuern!$J$10),IF(AND(AU36&gt;Steuern!$F$10,AU36&lt;Steuern!$D$14),INT(AU36*Steuern!$H$12-Steuern!$I$12),IF(AU36&gt;Steuern!$F$12,INT(AU36*Steuern!$H$14-Steuern!$I$14),0))))</f>
        <v>57876</v>
      </c>
      <c r="AW36" s="241">
        <f>IF(AND(AU36/2&gt;Steuern!$D$6,AU36/2&lt;Steuern!$D$10),INT((Steuern!$H$8*(AU36/2-Steuern!$D$8)/10000+Steuern!$I$8)*(AU36/2-Steuern!$D$6)/10000),IF(AND(AU36/2&gt;Steuern!$F$8,AU36/2&lt;Steuern!$D$12),INT((Steuern!$H$10*(AU36/2-Steuern!$F$8)/10000+Steuern!$I$10)*(AU36/2-Steuern!$F$8)/10000+Steuern!$J$10),IF(AND(AU36/2&gt;Steuern!$F$10,AU36/2&lt;Steuern!$D$14),INT(AU36/2*Steuern!$H$12-Steuern!$I$12),IF(AU36/2&gt;Steuern!$F$12,INT(AU36/2*Steuern!$H$14-Steuern!$I$14),0))))*2</f>
        <v>47902</v>
      </c>
      <c r="AX36" s="241">
        <f t="shared" si="18"/>
        <v>160150.08140523717</v>
      </c>
      <c r="AY36" s="241">
        <f>IF(AND(AX36&gt;Steuern!$D$6,AX36&lt;Steuern!$D$10),INT((Steuern!N31*(AX36-Steuern!$D$8)/10000+Steuern!$I$8)*(AX36-Steuern!$D$6)/10000),IF(AND(AX36&gt;Steuern!$F$8,AX36&lt;Steuern!$D$12),INT((Steuern!$H$10*(AX36-Steuern!$F$8)/10000+Steuern!$I$10)*(AX36-Steuern!$F$8)/10000+Steuern!$J$10),IF(AND(AX36&gt;Steuern!$F$10,AX36&lt;Steuern!$D$14),INT(AX36*Steuern!$H$12-Steuern!$I$12),IF(AX36&gt;Steuern!$F$12,INT(AX36*Steuern!$H$14-Steuern!$I$14),0))))</f>
        <v>57290</v>
      </c>
      <c r="AZ36" s="241">
        <f t="shared" si="19"/>
        <v>160874.04948780578</v>
      </c>
      <c r="BA36" s="241">
        <f>IF(AND(AZ36&gt;Steuern!$D$6,AZ36&lt;Steuern!$D$10),INT((Steuern!P31*(AZ36-Steuern!$D$8)/10000+Steuern!$I$8)*(AZ36-Steuern!$D$6)/10000),IF(AND(AZ36&gt;Steuern!$F$8,AZ36&lt;Steuern!$D$12),INT((Steuern!$H$10*(AZ36-Steuern!$F$8)/10000+Steuern!$I$10)*(AZ36-Steuern!$F$8)/10000+Steuern!$J$10),IF(AND(AZ36&gt;Steuern!$F$10,AZ36&lt;Steuern!$D$14),INT(AZ36*Steuern!$H$12-Steuern!$I$12),IF(AZ36&gt;Steuern!$F$12,INT(AZ36*Steuern!$H$14-Steuern!$I$14),0))))</f>
        <v>57594</v>
      </c>
      <c r="BB36" s="241">
        <f t="shared" ref="BB36:BC36" si="149">AC36-AO36</f>
        <v>-4662</v>
      </c>
      <c r="BC36" s="241">
        <f t="shared" si="149"/>
        <v>-4662</v>
      </c>
      <c r="BD36" s="241">
        <f t="shared" si="21"/>
        <v>-4075</v>
      </c>
      <c r="BE36" s="241">
        <f t="shared" si="22"/>
        <v>-4380</v>
      </c>
      <c r="BF36" s="241">
        <f t="shared" ref="BF36:BG36" si="150">AC36-AV36</f>
        <v>-5770</v>
      </c>
      <c r="BG36" s="241">
        <f t="shared" si="150"/>
        <v>-5770</v>
      </c>
      <c r="BH36" s="241">
        <f t="shared" si="24"/>
        <v>-5184</v>
      </c>
      <c r="BI36" s="241">
        <f t="shared" si="25"/>
        <v>-5488</v>
      </c>
      <c r="BJ36" s="241">
        <f t="shared" si="26"/>
        <v>-2088.8858210855906</v>
      </c>
      <c r="BK36" s="241">
        <f t="shared" si="27"/>
        <v>-2088.8858210855906</v>
      </c>
      <c r="BL36" s="241">
        <f t="shared" si="28"/>
        <v>-1313.2836875287394</v>
      </c>
      <c r="BM36" s="241">
        <f t="shared" si="29"/>
        <v>115.75583945573089</v>
      </c>
      <c r="BN36" s="241">
        <f t="shared" si="30"/>
        <v>-2088.8858210855906</v>
      </c>
      <c r="BO36" s="241">
        <f t="shared" si="31"/>
        <v>-98532.176875364938</v>
      </c>
      <c r="BP36" s="241">
        <f t="shared" si="32"/>
        <v>-2088.8858210855906</v>
      </c>
      <c r="BQ36" s="241">
        <f t="shared" si="33"/>
        <v>-99824.176875364938</v>
      </c>
      <c r="BR36" s="241">
        <f t="shared" si="34"/>
        <v>-1313.2836875287394</v>
      </c>
      <c r="BS36" s="241">
        <f t="shared" si="35"/>
        <v>-82952.929937114182</v>
      </c>
      <c r="BT36" s="241">
        <f t="shared" si="36"/>
        <v>115.75583945573089</v>
      </c>
      <c r="BU36" s="241">
        <f t="shared" si="37"/>
        <v>-67092.268646162454</v>
      </c>
      <c r="BV36" s="241">
        <f t="shared" si="38"/>
        <v>-558.52899214401623</v>
      </c>
      <c r="BW36" s="241">
        <f t="shared" si="39"/>
        <v>-558.52899214401623</v>
      </c>
      <c r="BX36" s="241">
        <f t="shared" si="40"/>
        <v>216.07314141283496</v>
      </c>
      <c r="BY36" s="241">
        <f t="shared" si="41"/>
        <v>1646.1126683973052</v>
      </c>
      <c r="BZ36" s="241">
        <f t="shared" si="42"/>
        <v>-558.52899214401623</v>
      </c>
      <c r="CA36" s="241">
        <f t="shared" si="43"/>
        <v>-61904.978599344395</v>
      </c>
      <c r="CB36" s="241">
        <f t="shared" si="44"/>
        <v>-558.52899214401623</v>
      </c>
      <c r="CC36" s="241">
        <f t="shared" si="45"/>
        <v>-61435.978599344395</v>
      </c>
      <c r="CD36" s="241">
        <f t="shared" si="46"/>
        <v>216.07314141283496</v>
      </c>
      <c r="CE36" s="241">
        <f t="shared" si="47"/>
        <v>-46320.731661093625</v>
      </c>
      <c r="CF36" s="241">
        <f t="shared" si="48"/>
        <v>1646.1126683973052</v>
      </c>
      <c r="CG36" s="241">
        <f t="shared" si="49"/>
        <v>-30462.070370141912</v>
      </c>
      <c r="CH36" s="248"/>
      <c r="CI36" s="249">
        <f t="shared" ca="1" si="64"/>
        <v>57224</v>
      </c>
      <c r="CJ36" s="241">
        <f t="shared" si="50"/>
        <v>-2088.8858210855906</v>
      </c>
      <c r="CK36" s="248"/>
      <c r="CL36" s="248"/>
      <c r="CM36" s="235">
        <f t="array" aca="1" ref="CM36" ca="1">-SUM((CM4:CM35)*(1+'Immobilie als Kapitalanlage'!$D$80)^(DAYS360($CI$4:$CI$35,$CI$35)/360))</f>
        <v>341897.816892776</v>
      </c>
      <c r="CN36" s="241">
        <f t="shared" si="54"/>
        <v>-2088.8858210855906</v>
      </c>
      <c r="CO36" s="248"/>
      <c r="CP36" s="248"/>
      <c r="CQ36" s="235"/>
      <c r="CR36" s="241"/>
      <c r="CS36" s="248"/>
      <c r="CT36" s="248"/>
      <c r="CU36" s="235"/>
      <c r="CV36" s="241"/>
      <c r="CW36" s="248"/>
      <c r="CX36" s="248"/>
      <c r="CY36" s="235"/>
      <c r="CZ36" s="241"/>
      <c r="DA36" s="241">
        <f t="shared" si="55"/>
        <v>-558.52899214401623</v>
      </c>
      <c r="DB36" s="248"/>
      <c r="DC36" s="248"/>
      <c r="DD36" s="235">
        <f t="array" aca="1" ref="DD36" ca="1">-SUM((DD4:DD35)*(1+'Immobilie als Kapitalanlage'!$D$80)^(DAYS360($CI$4:$CI$35,$CI$35)/360))</f>
        <v>255596.789618729</v>
      </c>
      <c r="DE36" s="241">
        <f t="shared" si="59"/>
        <v>-558.52899214401623</v>
      </c>
      <c r="DF36" s="248"/>
      <c r="DG36" s="248"/>
      <c r="DH36" s="235"/>
      <c r="DI36" s="241"/>
      <c r="DJ36" s="248"/>
      <c r="DK36" s="248"/>
      <c r="DL36" s="235"/>
      <c r="DM36" s="241"/>
      <c r="DN36" s="248"/>
      <c r="DO36" s="248"/>
      <c r="DP36" s="235"/>
      <c r="DQ36" s="241"/>
      <c r="DR36" s="241"/>
      <c r="DS36" s="241">
        <f t="shared" si="3"/>
        <v>-558.52899214401623</v>
      </c>
    </row>
    <row r="37" spans="1:123" ht="15.75" customHeight="1">
      <c r="A37" s="243">
        <v>33</v>
      </c>
      <c r="B37" s="244">
        <f>B36*(1+'Immobilie als Kapitalanlage'!$D$47)</f>
        <v>345783.83124378562</v>
      </c>
      <c r="C37" s="241">
        <f>$C$4*(1+'Immobilie als Kapitalanlage'!$D$47)^A37</f>
        <v>0</v>
      </c>
      <c r="D37" s="244">
        <f t="shared" si="69"/>
        <v>345783.83124378562</v>
      </c>
      <c r="E37" s="138"/>
      <c r="F37" s="245">
        <f>MAX(-FV('Immobilie als Kapitalanlage'!$D$26/12,A37*12,(-I37/12),'Immobilie als Kapitalanlage'!$C$25,0),0)</f>
        <v>17569.579383236472</v>
      </c>
      <c r="G37" s="245">
        <f>IF(I37-H37&gt;G36,F36*'Immobilie als Kapitalanlage'!$D$26,I37-H37)</f>
        <v>836.28750676917844</v>
      </c>
      <c r="H37" s="241">
        <f t="shared" si="4"/>
        <v>11613.712493230822</v>
      </c>
      <c r="I37" s="241">
        <f>$F$4*('Immobilie als Kapitalanlage'!$D$26+'Immobilie als Kapitalanlage'!$D$36)</f>
        <v>12450</v>
      </c>
      <c r="J37" s="245">
        <f>MAX((-FV('Immobilie als Kapitalanlage'!$C$85/12,(A37-$A$14)*12,(-M37/12),$J$14,0)),0)</f>
        <v>50531.849099351908</v>
      </c>
      <c r="K37" s="241">
        <f t="shared" si="98"/>
        <v>2239.734699573366</v>
      </c>
      <c r="L37" s="241">
        <f t="shared" si="99"/>
        <v>10021.663166869781</v>
      </c>
      <c r="M37" s="241">
        <f>$J$14*('Immobilie als Kapitalanlage'!$C$85+'Immobilie als Kapitalanlage'!$C$86)</f>
        <v>12261.397866443147</v>
      </c>
      <c r="N37" s="245">
        <f>MAX((-FV('Immobilie als Kapitalanlage'!$C$88/12,(A37-$A$19)*12,(-Q37/12),$N$19,0)),0)</f>
        <v>50031.117161714908</v>
      </c>
      <c r="O37" s="245">
        <f t="shared" si="115"/>
        <v>1645.9175741636736</v>
      </c>
      <c r="P37" s="241">
        <f t="shared" si="116"/>
        <v>8881.4407652950031</v>
      </c>
      <c r="Q37" s="241">
        <f>$N$19*('Immobilie als Kapitalanlage'!$C$88+'Immobilie als Kapitalanlage'!$C$89)</f>
        <v>10527.358339458677</v>
      </c>
      <c r="R37" s="250">
        <f t="shared" si="6"/>
        <v>-2745.3987345729247</v>
      </c>
      <c r="S37" s="250">
        <f>'Immobilie als Kapitalanlage'!$C$27*12*(1+'Immobilie als Kapitalanlage'!$D$44)^A36</f>
        <v>-461.33553694635634</v>
      </c>
      <c r="T37" s="250">
        <f>'Immobilie als Kapitalanlage'!$C$29*12*(1+'Immobilie als Kapitalanlage'!$D$44)^A36</f>
        <v>-1605.6285844701617</v>
      </c>
      <c r="U37" s="250">
        <f>'Immobilie als Kapitalanlage'!$C$30*12*(1+'Immobilie als Kapitalanlage'!$D$44)^A36</f>
        <v>-678.43461315640639</v>
      </c>
      <c r="V37" s="250">
        <f>'Immobilie als Kapitalanlage'!$C$28*12*(1+'Immobilie als Kapitalanlage'!$D$44)^A36</f>
        <v>-1153.338842365891</v>
      </c>
      <c r="W37" s="241">
        <f>$W$5*(1+'Immobilie als Kapitalanlage'!$D$43)^A36</f>
        <v>19222.314039431516</v>
      </c>
      <c r="X37" s="241">
        <f>$X$5*(1+'Immobilie als Kapitalanlage'!$D$43)^A36</f>
        <v>21913.438004951924</v>
      </c>
      <c r="Y37" s="241">
        <f>-'Immobilie als Kapitalanlage'!$C$25*'Immobilie als Kapitalanlage'!$D$99</f>
        <v>0</v>
      </c>
      <c r="Z37" s="241">
        <f t="shared" si="7"/>
        <v>0</v>
      </c>
      <c r="AA37" s="241">
        <f>FV((((1+'Immobilie als Kapitalanlage'!$D$80)^(1/12)-1)),A37*12,Y37/12,-'Immobilie als Kapitalanlage'!$G$95,)</f>
        <v>0</v>
      </c>
      <c r="AB37" s="241">
        <f>$AB$5*(1+'Immobilie als Kapitalanlage'!$D$51)^A36</f>
        <v>150763.24736809032</v>
      </c>
      <c r="AC37" s="241">
        <f>IF(AND(AB37&gt;Steuern!$D$6,AB37&lt;Steuern!$D$10),INT((Steuern!$H$8*(AB37-Steuern!$D$6)/10000+Steuern!$I$8)*(AB37-Steuern!$D$6)/10000),IF(AND(AB37&gt;Steuern!$F$8,AB37&lt;Steuern!$D$12),INT((Steuern!$H$10*(AB37-Steuern!$F$8)/10000+Steuern!$I$10)*(AB37-Steuern!$F$8)/10000+Steuern!$J$10),IF(AND(AB37&gt;Steuern!$F$10,AB37&lt;Steuern!$D$14),INT(AB37*Steuern!$H$12-Steuern!$I$12),IF(AB37&gt;Steuern!$F$12,INT(AB37*Steuern!$H$14-Steuern!$I$14),0))))</f>
        <v>53347</v>
      </c>
      <c r="AD37" s="241">
        <f>IF(AND(AB37/2&gt;Steuern!$D$6,AB37/2&lt;Steuern!$D$10),INT((Steuern!$H$8*(AB37/2-Steuern!$D$8)/10000+Steuern!$I$8)*(AB37/2-Steuern!$D$6)/10000),IF(AND(AB37/2&gt;Steuern!$F$8,AB37/2&lt;Steuern!$D$12),INT((Steuern!$H$10*(AB37/2-Steuern!$F$8)/10000+Steuern!$I$10)*(AB37/2-Steuern!$F$8)/10000+Steuern!$J$10),IF(AND(AB37/2&gt;Steuern!$F$10,AB37/2&lt;Steuern!$D$14),INT(AB37/2*Steuern!$H$12-Steuern!$I$12),IF(AB37/2&gt;Steuern!$F$12,INT(AB37/2*Steuern!$H$14-Steuern!$I$14),0))))*2</f>
        <v>43374</v>
      </c>
      <c r="AE37" s="241">
        <f t="shared" si="8"/>
        <v>15640.627798089412</v>
      </c>
      <c r="AF37" s="241">
        <f t="shared" si="9"/>
        <v>14237.180605285226</v>
      </c>
      <c r="AG37" s="241">
        <f t="shared" si="10"/>
        <v>14830.997730694919</v>
      </c>
      <c r="AH37" s="241">
        <f t="shared" si="11"/>
        <v>18331.75176360982</v>
      </c>
      <c r="AI37" s="241">
        <f t="shared" si="12"/>
        <v>16928.304570805634</v>
      </c>
      <c r="AJ37" s="241">
        <f t="shared" si="13"/>
        <v>17522.121696215327</v>
      </c>
      <c r="AK37" s="248"/>
      <c r="AL37" s="241">
        <f>('Immobilie als Kapitalanlage'!$C$16+'Immobilie als Kapitalanlage'!$C$20+'Immobilie als Kapitalanlage'!$C$15)*(1-'Immobilie als Kapitalanlage'!$D$53)</f>
        <v>190858.5</v>
      </c>
      <c r="AM37" s="241">
        <f>AL37*'Immobilie als Kapitalanlage'!$D$52</f>
        <v>3817.17</v>
      </c>
      <c r="AN37" s="241">
        <f t="shared" si="14"/>
        <v>162586.70516617972</v>
      </c>
      <c r="AO37" s="241">
        <f>IF(AND(AN37&gt;Steuern!$D$6,AN37&lt;Steuern!$D$10),INT((Steuern!H32*(AN37-Steuern!$D$8)/10000+Steuern!$I$8)*(AN37-Steuern!$D$6)/10000),IF(AND(AN37&gt;Steuern!$F$8,AN37&lt;Steuern!$D$12),INT((Steuern!$H$10*(AN37-Steuern!$F$8)/10000+Steuern!$I$10)*(AN37-Steuern!$F$8)/10000+Steuern!$J$10),IF(AND(AN37&gt;Steuern!$F$10,AN37&lt;Steuern!$D$14),INT(AN37*Steuern!$H$12-Steuern!$I$12),IF(AN37&gt;Steuern!$F$12,INT(AN37*Steuern!$H$14-Steuern!$I$14),0))))</f>
        <v>58313</v>
      </c>
      <c r="AP37" s="241">
        <f>IF(AND(AN37/2&gt;Steuern!$D$6,AN37/2&lt;Steuern!$D$10),INT((Steuern!$H$8*(AN37/2-Steuern!$D$8)/10000+Steuern!$I$8)*(AN37/2-Steuern!$D$6)/10000),IF(AND(AN37/2&gt;Steuern!$F$8,AN37/2&lt;Steuern!$D$12),INT((Steuern!$H$10*(AN37/2-Steuern!$F$8)/10000+Steuern!$I$10)*(AN37/2-Steuern!$F$8)/10000+Steuern!$J$10),IF(AND(AN37/2&gt;Steuern!$F$10,AN37/2&lt;Steuern!$D$14),INT(AN37/2*Steuern!$H$12-Steuern!$I$12),IF(AN37/2&gt;Steuern!$F$12,INT(AN37/2*Steuern!$H$14-Steuern!$I$14),0))))*2</f>
        <v>48340</v>
      </c>
      <c r="AQ37" s="241">
        <f t="shared" si="15"/>
        <v>161183.25797337553</v>
      </c>
      <c r="AR37" s="241">
        <f>IF(AND(AQ37&gt;Steuern!$D$6,AQ37&lt;Steuern!$D$10),INT((Steuern!$H$8*(AQ37-Steuern!$D$6)/10000+Steuern!$I$8)*(AQ37-Steuern!$D$6)/10000),IF(AND(AQ37&gt;Steuern!$F$8,AQ37&lt;Steuern!$D$12),INT((Steuern!$H$10*(AQ37-Steuern!$F$8)/10000+Steuern!$I$10)*(AQ37-Steuern!$F$8)/10000+Steuern!$J$10),IF(AND(AQ37&gt;Steuern!$F$10,AQ37&lt;Steuern!$D$14),INT(AQ37*Steuern!$H$12-Steuern!$I$12),IF(AQ37&gt;Steuern!$F$12,INT(AQ37*Steuern!$H$14-Steuern!$I$14),0))))</f>
        <v>57723</v>
      </c>
      <c r="AS37" s="241">
        <f t="shared" si="16"/>
        <v>161777.07509878522</v>
      </c>
      <c r="AT37" s="241">
        <f>IF(AND(AS37&gt;Steuern!$D$6,AS37&lt;Steuern!$D$10),INT((Steuern!$H$8*(AS37-Steuern!$D$6)/10000+Steuern!$I$8)*(AS37-Steuern!$D$6)/10000),IF(AND(AS37&gt;Steuern!$F$8,AS37&lt;Steuern!$D$12),INT((Steuern!$H$10*(AS37-Steuern!$F$8)/10000+Steuern!$I$10)*(AS37-Steuern!$F$8)/10000+Steuern!$J$10),IF(AND(AS37&gt;Steuern!$F$10,AS37&lt;Steuern!$D$14),INT(AS37*Steuern!$H$12-Steuern!$I$12),IF(AS37&gt;Steuern!$F$12,INT(AS37*Steuern!$H$14-Steuern!$I$14),0))))</f>
        <v>57973</v>
      </c>
      <c r="AU37" s="241">
        <f t="shared" si="17"/>
        <v>165277.82913170013</v>
      </c>
      <c r="AV37" s="241">
        <f>IF(AND(AU37&gt;Steuern!$D$6,AU37&lt;Steuern!$D$10),INT((Steuern!$H$8*(AU37-Steuern!$D$6)/10000+Steuern!$I$8)*(AU37-Steuern!$D$6)/10000),IF(AND(AU37&gt;Steuern!$F$8,AU37&lt;Steuern!$D$12),INT((Steuern!$H$10*(AU37-Steuern!$F$8)/10000+Steuern!$I$10)*(AU37-Steuern!$F$8)/10000+Steuern!$J$10),IF(AND(AU37&gt;Steuern!$F$10,AU37&lt;Steuern!$D$14),INT(AU37*Steuern!$H$12-Steuern!$I$12),IF(AU37&gt;Steuern!$F$12,INT(AU37*Steuern!$H$14-Steuern!$I$14),0))))</f>
        <v>59443</v>
      </c>
      <c r="AW37" s="241">
        <f>IF(AND(AU37/2&gt;Steuern!$D$6,AU37/2&lt;Steuern!$D$10),INT((Steuern!$H$8*(AU37/2-Steuern!$D$8)/10000+Steuern!$I$8)*(AU37/2-Steuern!$D$6)/10000),IF(AND(AU37/2&gt;Steuern!$F$8,AU37/2&lt;Steuern!$D$12),INT((Steuern!$H$10*(AU37/2-Steuern!$F$8)/10000+Steuern!$I$10)*(AU37/2-Steuern!$F$8)/10000+Steuern!$J$10),IF(AND(AU37/2&gt;Steuern!$F$10,AU37/2&lt;Steuern!$D$14),INT(AU37/2*Steuern!$H$12-Steuern!$I$12),IF(AU37/2&gt;Steuern!$F$12,INT(AU37/2*Steuern!$H$14-Steuern!$I$14),0))))*2</f>
        <v>49470</v>
      </c>
      <c r="AX37" s="241">
        <f t="shared" si="18"/>
        <v>163874.38193889594</v>
      </c>
      <c r="AY37" s="241">
        <f>IF(AND(AX37&gt;Steuern!$D$6,AX37&lt;Steuern!$D$10),INT((Steuern!N32*(AX37-Steuern!$D$8)/10000+Steuern!$I$8)*(AX37-Steuern!$D$6)/10000),IF(AND(AX37&gt;Steuern!$F$8,AX37&lt;Steuern!$D$12),INT((Steuern!$H$10*(AX37-Steuern!$F$8)/10000+Steuern!$I$10)*(AX37-Steuern!$F$8)/10000+Steuern!$J$10),IF(AND(AX37&gt;Steuern!$F$10,AX37&lt;Steuern!$D$14),INT(AX37*Steuern!$H$12-Steuern!$I$12),IF(AX37&gt;Steuern!$F$12,INT(AX37*Steuern!$H$14-Steuern!$I$14),0))))</f>
        <v>58854</v>
      </c>
      <c r="AZ37" s="241">
        <f t="shared" si="19"/>
        <v>164468.19906430563</v>
      </c>
      <c r="BA37" s="241">
        <f>IF(AND(AZ37&gt;Steuern!$D$6,AZ37&lt;Steuern!$D$10),INT((Steuern!P32*(AZ37-Steuern!$D$8)/10000+Steuern!$I$8)*(AZ37-Steuern!$D$6)/10000),IF(AND(AZ37&gt;Steuern!$F$8,AZ37&lt;Steuern!$D$12),INT((Steuern!$H$10*(AZ37-Steuern!$F$8)/10000+Steuern!$I$10)*(AZ37-Steuern!$F$8)/10000+Steuern!$J$10),IF(AND(AZ37&gt;Steuern!$F$10,AZ37&lt;Steuern!$D$14),INT(AZ37*Steuern!$H$12-Steuern!$I$12),IF(AZ37&gt;Steuern!$F$12,INT(AZ37*Steuern!$H$14-Steuern!$I$14),0))))</f>
        <v>59103</v>
      </c>
      <c r="BB37" s="241">
        <f t="shared" ref="BB37:BC37" si="151">AC37-AO37</f>
        <v>-4966</v>
      </c>
      <c r="BC37" s="241">
        <f t="shared" si="151"/>
        <v>-4966</v>
      </c>
      <c r="BD37" s="241">
        <f t="shared" si="21"/>
        <v>-4376</v>
      </c>
      <c r="BE37" s="241">
        <f t="shared" si="22"/>
        <v>-4626</v>
      </c>
      <c r="BF37" s="241">
        <f t="shared" ref="BF37:BG37" si="152">AC37-AV37</f>
        <v>-6096</v>
      </c>
      <c r="BG37" s="241">
        <f t="shared" si="152"/>
        <v>-6096</v>
      </c>
      <c r="BH37" s="241">
        <f t="shared" si="24"/>
        <v>-5507</v>
      </c>
      <c r="BI37" s="241">
        <f t="shared" si="25"/>
        <v>-5756</v>
      </c>
      <c r="BJ37" s="241">
        <f t="shared" si="26"/>
        <v>-2092.4235375073004</v>
      </c>
      <c r="BK37" s="241">
        <f t="shared" si="27"/>
        <v>-2092.4235375073004</v>
      </c>
      <c r="BL37" s="241">
        <f t="shared" si="28"/>
        <v>-1313.8214039504455</v>
      </c>
      <c r="BM37" s="241">
        <f t="shared" si="29"/>
        <v>170.21812303402476</v>
      </c>
      <c r="BN37" s="241">
        <f t="shared" si="30"/>
        <v>-2092.4235375073004</v>
      </c>
      <c r="BO37" s="241">
        <f t="shared" si="31"/>
        <v>-100624.60041287224</v>
      </c>
      <c r="BP37" s="241">
        <f t="shared" si="32"/>
        <v>-2092.4235375073004</v>
      </c>
      <c r="BQ37" s="241">
        <f t="shared" si="33"/>
        <v>-101916.60041287224</v>
      </c>
      <c r="BR37" s="241">
        <f t="shared" si="34"/>
        <v>-1313.8214039504455</v>
      </c>
      <c r="BS37" s="241">
        <f t="shared" si="35"/>
        <v>-84266.751341064635</v>
      </c>
      <c r="BT37" s="241">
        <f t="shared" si="36"/>
        <v>170.21812303402476</v>
      </c>
      <c r="BU37" s="241">
        <f t="shared" si="37"/>
        <v>-66922.050523128433</v>
      </c>
      <c r="BV37" s="241">
        <f t="shared" si="38"/>
        <v>-531.29957198689226</v>
      </c>
      <c r="BW37" s="241">
        <f t="shared" si="39"/>
        <v>-531.29957198689226</v>
      </c>
      <c r="BX37" s="241">
        <f t="shared" si="40"/>
        <v>246.30256156996256</v>
      </c>
      <c r="BY37" s="241">
        <f t="shared" si="41"/>
        <v>1731.3420885544328</v>
      </c>
      <c r="BZ37" s="241">
        <f t="shared" si="42"/>
        <v>-531.29957198689226</v>
      </c>
      <c r="CA37" s="241">
        <f t="shared" si="43"/>
        <v>-62436.278171331287</v>
      </c>
      <c r="CB37" s="241">
        <f t="shared" si="44"/>
        <v>-531.29957198689226</v>
      </c>
      <c r="CC37" s="241">
        <f t="shared" si="45"/>
        <v>-61967.278171331287</v>
      </c>
      <c r="CD37" s="241">
        <f t="shared" si="46"/>
        <v>246.30256156996256</v>
      </c>
      <c r="CE37" s="241">
        <f t="shared" si="47"/>
        <v>-46074.429099523666</v>
      </c>
      <c r="CF37" s="241">
        <f t="shared" si="48"/>
        <v>1731.3420885544328</v>
      </c>
      <c r="CG37" s="241">
        <f t="shared" si="49"/>
        <v>-28730.728281587479</v>
      </c>
      <c r="CH37" s="248"/>
      <c r="CI37" s="249">
        <f t="shared" ca="1" si="64"/>
        <v>57589</v>
      </c>
      <c r="CJ37" s="241">
        <f t="shared" si="50"/>
        <v>-2092.4235375073004</v>
      </c>
      <c r="CK37" s="248"/>
      <c r="CL37" s="248"/>
      <c r="CM37" s="248"/>
      <c r="CN37" s="241">
        <f t="shared" si="54"/>
        <v>-2092.4235375073004</v>
      </c>
      <c r="CO37" s="248"/>
      <c r="CP37" s="248"/>
      <c r="CQ37" s="248"/>
      <c r="CR37" s="241"/>
      <c r="CS37" s="248"/>
      <c r="CT37" s="248"/>
      <c r="CU37" s="248"/>
      <c r="CV37" s="241"/>
      <c r="CW37" s="248"/>
      <c r="CX37" s="248"/>
      <c r="CY37" s="248"/>
      <c r="CZ37" s="241"/>
      <c r="DA37" s="241">
        <f t="shared" si="55"/>
        <v>-531.29957198689226</v>
      </c>
      <c r="DB37" s="248"/>
      <c r="DC37" s="248"/>
      <c r="DD37" s="248"/>
      <c r="DE37" s="241">
        <f t="shared" si="59"/>
        <v>-531.29957198689226</v>
      </c>
      <c r="DF37" s="248"/>
      <c r="DG37" s="248"/>
      <c r="DH37" s="248"/>
      <c r="DI37" s="241"/>
      <c r="DJ37" s="248"/>
      <c r="DK37" s="248"/>
      <c r="DL37" s="248"/>
      <c r="DM37" s="241"/>
      <c r="DN37" s="248"/>
      <c r="DO37" s="248"/>
      <c r="DP37" s="248"/>
      <c r="DQ37" s="241"/>
      <c r="DR37" s="241"/>
      <c r="DS37" s="241">
        <f t="shared" si="3"/>
        <v>-531.29957198689226</v>
      </c>
    </row>
    <row r="38" spans="1:123" ht="15.75" customHeight="1">
      <c r="A38" s="243">
        <v>34</v>
      </c>
      <c r="B38" s="244">
        <f>B37*(1+'Immobilie als Kapitalanlage'!$D$47)</f>
        <v>349241.6695562235</v>
      </c>
      <c r="C38" s="241">
        <f>$C$4*(1+'Immobilie als Kapitalanlage'!$D$47)^A38</f>
        <v>0</v>
      </c>
      <c r="D38" s="244">
        <f t="shared" si="69"/>
        <v>349241.6695562235</v>
      </c>
      <c r="E38" s="138"/>
      <c r="F38" s="245">
        <f>MAX(-FV('Immobilie als Kapitalanlage'!$D$26/12,A38*12,(-I38/12),'Immobilie als Kapitalanlage'!$C$25,0),0)</f>
        <v>5542.8025242312578</v>
      </c>
      <c r="G38" s="245">
        <f>IF(I38-H38&gt;G37,F37*'Immobilie als Kapitalanlage'!$D$26,I38-H38)</f>
        <v>423.22314099478535</v>
      </c>
      <c r="H38" s="241">
        <f t="shared" si="4"/>
        <v>12026.776859005215</v>
      </c>
      <c r="I38" s="241">
        <f>$F$4*('Immobilie als Kapitalanlage'!$D$26+'Immobilie als Kapitalanlage'!$D$36)</f>
        <v>12450</v>
      </c>
      <c r="J38" s="245">
        <f>MAX((-FV('Immobilie als Kapitalanlage'!$C$85/12,(A38-$A$14)*12,(-M38/12),$J$14,0)),0)</f>
        <v>40101.887912441394</v>
      </c>
      <c r="K38" s="241">
        <f t="shared" si="98"/>
        <v>1831.4366795326332</v>
      </c>
      <c r="L38" s="241">
        <f t="shared" si="99"/>
        <v>10429.961186910514</v>
      </c>
      <c r="M38" s="241">
        <f>$J$14*('Immobilie als Kapitalanlage'!$C$85+'Immobilie als Kapitalanlage'!$C$86)</f>
        <v>12261.397866443147</v>
      </c>
      <c r="N38" s="245">
        <f>MAX((-FV('Immobilie als Kapitalanlage'!$C$88/12,(A38-$A$19)*12,(-Q38/12),$N$19,0)),0)</f>
        <v>40879.5388767728</v>
      </c>
      <c r="O38" s="245">
        <f t="shared" si="115"/>
        <v>1375.7800545165683</v>
      </c>
      <c r="P38" s="241">
        <f t="shared" si="116"/>
        <v>9151.5782849421084</v>
      </c>
      <c r="Q38" s="241">
        <f>$N$19*('Immobilie als Kapitalanlage'!$C$88+'Immobilie als Kapitalanlage'!$C$89)</f>
        <v>10527.358339458677</v>
      </c>
      <c r="R38" s="250">
        <f t="shared" si="6"/>
        <v>-2800.3067092643832</v>
      </c>
      <c r="S38" s="250">
        <f>'Immobilie als Kapitalanlage'!$C$27*12*(1+'Immobilie als Kapitalanlage'!$D$44)^A37</f>
        <v>-470.56224768528347</v>
      </c>
      <c r="T38" s="250">
        <f>'Immobilie als Kapitalanlage'!$C$29*12*(1+'Immobilie als Kapitalanlage'!$D$44)^A37</f>
        <v>-1637.7411561595652</v>
      </c>
      <c r="U38" s="250">
        <f>'Immobilie als Kapitalanlage'!$C$30*12*(1+'Immobilie als Kapitalanlage'!$D$44)^A37</f>
        <v>-692.00330541953463</v>
      </c>
      <c r="V38" s="250">
        <f>'Immobilie als Kapitalanlage'!$C$28*12*(1+'Immobilie als Kapitalanlage'!$D$44)^A37</f>
        <v>-1176.4056192132089</v>
      </c>
      <c r="W38" s="241">
        <f>$W$5*(1+'Immobilie als Kapitalanlage'!$D$43)^A37</f>
        <v>19606.760320220146</v>
      </c>
      <c r="X38" s="241">
        <f>$X$5*(1+'Immobilie als Kapitalanlage'!$D$43)^A37</f>
        <v>22351.706765050963</v>
      </c>
      <c r="Y38" s="241">
        <f>-'Immobilie als Kapitalanlage'!$C$25*'Immobilie als Kapitalanlage'!$D$99</f>
        <v>0</v>
      </c>
      <c r="Z38" s="241">
        <f t="shared" si="7"/>
        <v>0</v>
      </c>
      <c r="AA38" s="241">
        <f>FV((((1+'Immobilie als Kapitalanlage'!$D$80)^(1/12)-1)),A38*12,Y38/12,-'Immobilie als Kapitalanlage'!$G$95,)</f>
        <v>0</v>
      </c>
      <c r="AB38" s="241">
        <f>$AB$5*(1+'Immobilie als Kapitalanlage'!$D$51)^A37</f>
        <v>153778.51231545213</v>
      </c>
      <c r="AC38" s="241">
        <f>IF(AND(AB38&gt;Steuern!$D$6,AB38&lt;Steuern!$D$10),INT((Steuern!$H$8*(AB38-Steuern!$D$6)/10000+Steuern!$I$8)*(AB38-Steuern!$D$6)/10000),IF(AND(AB38&gt;Steuern!$F$8,AB38&lt;Steuern!$D$12),INT((Steuern!$H$10*(AB38-Steuern!$F$8)/10000+Steuern!$I$10)*(AB38-Steuern!$F$8)/10000+Steuern!$J$10),IF(AND(AB38&gt;Steuern!$F$10,AB38&lt;Steuern!$D$14),INT(AB38*Steuern!$H$12-Steuern!$I$12),IF(AB38&gt;Steuern!$F$12,INT(AB38*Steuern!$H$14-Steuern!$I$14),0))))</f>
        <v>54613</v>
      </c>
      <c r="AD38" s="241">
        <f>IF(AND(AB38/2&gt;Steuern!$D$6,AB38/2&lt;Steuern!$D$10),INT((Steuern!$H$8*(AB38/2-Steuern!$D$8)/10000+Steuern!$I$8)*(AB38/2-Steuern!$D$6)/10000),IF(AND(AB38/2&gt;Steuern!$F$8,AB38/2&lt;Steuern!$D$12),INT((Steuern!$H$10*(AB38/2-Steuern!$F$8)/10000+Steuern!$I$10)*(AB38/2-Steuern!$F$8)/10000+Steuern!$J$10),IF(AND(AB38/2&gt;Steuern!$F$10,AB38/2&lt;Steuern!$D$14),INT(AB38/2*Steuern!$H$12-Steuern!$I$12),IF(AB38/2&gt;Steuern!$F$12,INT(AB38/2*Steuern!$H$14-Steuern!$I$14),0))))*2</f>
        <v>44640</v>
      </c>
      <c r="AE38" s="241">
        <f t="shared" si="8"/>
        <v>16383.230469960978</v>
      </c>
      <c r="AF38" s="241">
        <f t="shared" si="9"/>
        <v>14975.01693142313</v>
      </c>
      <c r="AG38" s="241">
        <f t="shared" si="10"/>
        <v>15430.673556439195</v>
      </c>
      <c r="AH38" s="241">
        <f t="shared" si="11"/>
        <v>19128.176914791795</v>
      </c>
      <c r="AI38" s="241">
        <f t="shared" si="12"/>
        <v>17719.963376253945</v>
      </c>
      <c r="AJ38" s="241">
        <f t="shared" si="13"/>
        <v>18175.620001270014</v>
      </c>
      <c r="AK38" s="248"/>
      <c r="AL38" s="241">
        <f>('Immobilie als Kapitalanlage'!$C$16+'Immobilie als Kapitalanlage'!$C$20+'Immobilie als Kapitalanlage'!$C$15)*(1-'Immobilie als Kapitalanlage'!$D$53)</f>
        <v>190858.5</v>
      </c>
      <c r="AM38" s="241">
        <f>AL38*'Immobilie als Kapitalanlage'!$D$52</f>
        <v>3817.17</v>
      </c>
      <c r="AN38" s="241">
        <f t="shared" si="14"/>
        <v>166344.5727854131</v>
      </c>
      <c r="AO38" s="241">
        <f>IF(AND(AN38&gt;Steuern!$D$6,AN38&lt;Steuern!$D$10),INT((Steuern!H33*(AN38-Steuern!$D$8)/10000+Steuern!$I$8)*(AN38-Steuern!$D$6)/10000),IF(AND(AN38&gt;Steuern!$F$8,AN38&lt;Steuern!$D$12),INT((Steuern!$H$10*(AN38-Steuern!$F$8)/10000+Steuern!$I$10)*(AN38-Steuern!$F$8)/10000+Steuern!$J$10),IF(AND(AN38&gt;Steuern!$F$10,AN38&lt;Steuern!$D$14),INT(AN38*Steuern!$H$12-Steuern!$I$12),IF(AN38&gt;Steuern!$F$12,INT(AN38*Steuern!$H$14-Steuern!$I$14),0))))</f>
        <v>59891</v>
      </c>
      <c r="AP38" s="241">
        <f>IF(AND(AN38/2&gt;Steuern!$D$6,AN38/2&lt;Steuern!$D$10),INT((Steuern!$H$8*(AN38/2-Steuern!$D$8)/10000+Steuern!$I$8)*(AN38/2-Steuern!$D$6)/10000),IF(AND(AN38/2&gt;Steuern!$F$8,AN38/2&lt;Steuern!$D$12),INT((Steuern!$H$10*(AN38/2-Steuern!$F$8)/10000+Steuern!$I$10)*(AN38/2-Steuern!$F$8)/10000+Steuern!$J$10),IF(AND(AN38/2&gt;Steuern!$F$10,AN38/2&lt;Steuern!$D$14),INT(AN38/2*Steuern!$H$12-Steuern!$I$12),IF(AN38/2&gt;Steuern!$F$12,INT(AN38/2*Steuern!$H$14-Steuern!$I$14),0))))*2</f>
        <v>49918</v>
      </c>
      <c r="AQ38" s="241">
        <f t="shared" si="15"/>
        <v>164936.35924687525</v>
      </c>
      <c r="AR38" s="241">
        <f>IF(AND(AQ38&gt;Steuern!$D$6,AQ38&lt;Steuern!$D$10),INT((Steuern!$H$8*(AQ38-Steuern!$D$6)/10000+Steuern!$I$8)*(AQ38-Steuern!$D$6)/10000),IF(AND(AQ38&gt;Steuern!$F$8,AQ38&lt;Steuern!$D$12),INT((Steuern!$H$10*(AQ38-Steuern!$F$8)/10000+Steuern!$I$10)*(AQ38-Steuern!$F$8)/10000+Steuern!$J$10),IF(AND(AQ38&gt;Steuern!$F$10,AQ38&lt;Steuern!$D$14),INT(AQ38*Steuern!$H$12-Steuern!$I$12),IF(AQ38&gt;Steuern!$F$12,INT(AQ38*Steuern!$H$14-Steuern!$I$14),0))))</f>
        <v>59300</v>
      </c>
      <c r="AS38" s="241">
        <f t="shared" si="16"/>
        <v>165392.01587189132</v>
      </c>
      <c r="AT38" s="241">
        <f>IF(AND(AS38&gt;Steuern!$D$6,AS38&lt;Steuern!$D$10),INT((Steuern!$H$8*(AS38-Steuern!$D$6)/10000+Steuern!$I$8)*(AS38-Steuern!$D$6)/10000),IF(AND(AS38&gt;Steuern!$F$8,AS38&lt;Steuern!$D$12),INT((Steuern!$H$10*(AS38-Steuern!$F$8)/10000+Steuern!$I$10)*(AS38-Steuern!$F$8)/10000+Steuern!$J$10),IF(AND(AS38&gt;Steuern!$F$10,AS38&lt;Steuern!$D$14),INT(AS38*Steuern!$H$12-Steuern!$I$12),IF(AS38&gt;Steuern!$F$12,INT(AS38*Steuern!$H$14-Steuern!$I$14),0))))</f>
        <v>59491</v>
      </c>
      <c r="AU38" s="241">
        <f t="shared" si="17"/>
        <v>169089.5192302439</v>
      </c>
      <c r="AV38" s="241">
        <f>IF(AND(AU38&gt;Steuern!$D$6,AU38&lt;Steuern!$D$10),INT((Steuern!$H$8*(AU38-Steuern!$D$6)/10000+Steuern!$I$8)*(AU38-Steuern!$D$6)/10000),IF(AND(AU38&gt;Steuern!$F$8,AU38&lt;Steuern!$D$12),INT((Steuern!$H$10*(AU38-Steuern!$F$8)/10000+Steuern!$I$10)*(AU38-Steuern!$F$8)/10000+Steuern!$J$10),IF(AND(AU38&gt;Steuern!$F$10,AU38&lt;Steuern!$D$14),INT(AU38*Steuern!$H$12-Steuern!$I$12),IF(AU38&gt;Steuern!$F$12,INT(AU38*Steuern!$H$14-Steuern!$I$14),0))))</f>
        <v>61044</v>
      </c>
      <c r="AW38" s="241">
        <f>IF(AND(AU38/2&gt;Steuern!$D$6,AU38/2&lt;Steuern!$D$10),INT((Steuern!$H$8*(AU38/2-Steuern!$D$8)/10000+Steuern!$I$8)*(AU38/2-Steuern!$D$6)/10000),IF(AND(AU38/2&gt;Steuern!$F$8,AU38/2&lt;Steuern!$D$12),INT((Steuern!$H$10*(AU38/2-Steuern!$F$8)/10000+Steuern!$I$10)*(AU38/2-Steuern!$F$8)/10000+Steuern!$J$10),IF(AND(AU38/2&gt;Steuern!$F$10,AU38/2&lt;Steuern!$D$14),INT(AU38/2*Steuern!$H$12-Steuern!$I$12),IF(AU38/2&gt;Steuern!$F$12,INT(AU38/2*Steuern!$H$14-Steuern!$I$14),0))))*2</f>
        <v>51070</v>
      </c>
      <c r="AX38" s="241">
        <f t="shared" si="18"/>
        <v>167681.30569170605</v>
      </c>
      <c r="AY38" s="241">
        <f>IF(AND(AX38&gt;Steuern!$D$6,AX38&lt;Steuern!$D$10),INT((Steuern!N33*(AX38-Steuern!$D$8)/10000+Steuern!$I$8)*(AX38-Steuern!$D$6)/10000),IF(AND(AX38&gt;Steuern!$F$8,AX38&lt;Steuern!$D$12),INT((Steuern!$H$10*(AX38-Steuern!$F$8)/10000+Steuern!$I$10)*(AX38-Steuern!$F$8)/10000+Steuern!$J$10),IF(AND(AX38&gt;Steuern!$F$10,AX38&lt;Steuern!$D$14),INT(AX38*Steuern!$H$12-Steuern!$I$12),IF(AX38&gt;Steuern!$F$12,INT(AX38*Steuern!$H$14-Steuern!$I$14),0))))</f>
        <v>60453</v>
      </c>
      <c r="AZ38" s="241">
        <f t="shared" si="19"/>
        <v>168136.96231672211</v>
      </c>
      <c r="BA38" s="241">
        <f>IF(AND(AZ38&gt;Steuern!$D$6,AZ38&lt;Steuern!$D$10),INT((Steuern!P33*(AZ38-Steuern!$D$8)/10000+Steuern!$I$8)*(AZ38-Steuern!$D$6)/10000),IF(AND(AZ38&gt;Steuern!$F$8,AZ38&lt;Steuern!$D$12),INT((Steuern!$H$10*(AZ38-Steuern!$F$8)/10000+Steuern!$I$10)*(AZ38-Steuern!$F$8)/10000+Steuern!$J$10),IF(AND(AZ38&gt;Steuern!$F$10,AZ38&lt;Steuern!$D$14),INT(AZ38*Steuern!$H$12-Steuern!$I$12),IF(AZ38&gt;Steuern!$F$12,INT(AZ38*Steuern!$H$14-Steuern!$I$14),0))))</f>
        <v>60644</v>
      </c>
      <c r="BB38" s="241">
        <f t="shared" ref="BB38:BC38" si="153">AC38-AO38</f>
        <v>-5278</v>
      </c>
      <c r="BC38" s="241">
        <f t="shared" si="153"/>
        <v>-5278</v>
      </c>
      <c r="BD38" s="241">
        <f t="shared" si="21"/>
        <v>-4687</v>
      </c>
      <c r="BE38" s="241">
        <f t="shared" si="22"/>
        <v>-4878</v>
      </c>
      <c r="BF38" s="241">
        <f t="shared" ref="BF38:BG38" si="154">AC38-AV38</f>
        <v>-6431</v>
      </c>
      <c r="BG38" s="241">
        <f t="shared" si="154"/>
        <v>-6430</v>
      </c>
      <c r="BH38" s="241">
        <f t="shared" si="24"/>
        <v>-5840</v>
      </c>
      <c r="BI38" s="241">
        <f t="shared" si="25"/>
        <v>-6031</v>
      </c>
      <c r="BJ38" s="241">
        <f t="shared" si="26"/>
        <v>-2097.9520082574454</v>
      </c>
      <c r="BK38" s="241">
        <f t="shared" si="27"/>
        <v>-2097.9520082574454</v>
      </c>
      <c r="BL38" s="241">
        <f t="shared" si="28"/>
        <v>-1318.3498747005924</v>
      </c>
      <c r="BM38" s="241">
        <f t="shared" si="29"/>
        <v>224.68965228387788</v>
      </c>
      <c r="BN38" s="241">
        <f t="shared" si="30"/>
        <v>-2097.9520082574454</v>
      </c>
      <c r="BO38" s="241">
        <f t="shared" si="31"/>
        <v>-102722.55242112969</v>
      </c>
      <c r="BP38" s="241">
        <f t="shared" si="32"/>
        <v>-2097.9520082574454</v>
      </c>
      <c r="BQ38" s="241">
        <f t="shared" si="33"/>
        <v>-104014.55242112969</v>
      </c>
      <c r="BR38" s="241">
        <f t="shared" si="34"/>
        <v>-1318.3498747005924</v>
      </c>
      <c r="BS38" s="241">
        <f t="shared" si="35"/>
        <v>-85585.101215765229</v>
      </c>
      <c r="BT38" s="241">
        <f t="shared" si="36"/>
        <v>224.68965228387788</v>
      </c>
      <c r="BU38" s="241">
        <f t="shared" si="37"/>
        <v>-66697.360870844554</v>
      </c>
      <c r="BV38" s="241">
        <f t="shared" si="38"/>
        <v>-506.00556342662821</v>
      </c>
      <c r="BW38" s="241">
        <f t="shared" si="39"/>
        <v>-505.00556342662821</v>
      </c>
      <c r="BX38" s="241">
        <f t="shared" si="40"/>
        <v>273.59657013022479</v>
      </c>
      <c r="BY38" s="241">
        <f t="shared" si="41"/>
        <v>1816.6360971146951</v>
      </c>
      <c r="BZ38" s="241">
        <f t="shared" si="42"/>
        <v>-506.00556342662821</v>
      </c>
      <c r="CA38" s="241">
        <f t="shared" si="43"/>
        <v>-62942.283734757919</v>
      </c>
      <c r="CB38" s="241">
        <f t="shared" si="44"/>
        <v>-505.00556342662821</v>
      </c>
      <c r="CC38" s="241">
        <f t="shared" si="45"/>
        <v>-62472.283734757919</v>
      </c>
      <c r="CD38" s="241">
        <f t="shared" si="46"/>
        <v>273.59657013022479</v>
      </c>
      <c r="CE38" s="241">
        <f t="shared" si="47"/>
        <v>-45800.832529393439</v>
      </c>
      <c r="CF38" s="241">
        <f t="shared" si="48"/>
        <v>1816.6360971146951</v>
      </c>
      <c r="CG38" s="241">
        <f t="shared" si="49"/>
        <v>-26914.092184472785</v>
      </c>
      <c r="CH38" s="248"/>
      <c r="CI38" s="249">
        <f t="shared" ca="1" si="64"/>
        <v>57954</v>
      </c>
      <c r="CJ38" s="241">
        <f t="shared" si="50"/>
        <v>-2097.9520082574454</v>
      </c>
      <c r="CK38" s="248"/>
      <c r="CL38" s="248"/>
      <c r="CM38" s="248"/>
      <c r="CN38" s="241">
        <f t="shared" si="54"/>
        <v>-2097.9520082574454</v>
      </c>
      <c r="CO38" s="248"/>
      <c r="CP38" s="248"/>
      <c r="CQ38" s="248"/>
      <c r="CR38" s="241"/>
      <c r="CS38" s="248"/>
      <c r="CT38" s="248"/>
      <c r="CU38" s="248"/>
      <c r="CV38" s="241"/>
      <c r="CW38" s="248"/>
      <c r="CX38" s="248"/>
      <c r="CY38" s="248"/>
      <c r="CZ38" s="241"/>
      <c r="DA38" s="241">
        <f t="shared" si="55"/>
        <v>-506.00556342662821</v>
      </c>
      <c r="DB38" s="248"/>
      <c r="DC38" s="248"/>
      <c r="DD38" s="248"/>
      <c r="DE38" s="241">
        <f t="shared" si="59"/>
        <v>-506.00556342662821</v>
      </c>
      <c r="DF38" s="248"/>
      <c r="DG38" s="248"/>
      <c r="DH38" s="248"/>
      <c r="DI38" s="241"/>
      <c r="DJ38" s="248"/>
      <c r="DK38" s="248"/>
      <c r="DL38" s="248"/>
      <c r="DM38" s="241"/>
      <c r="DN38" s="248"/>
      <c r="DO38" s="248"/>
      <c r="DP38" s="248"/>
      <c r="DQ38" s="241"/>
      <c r="DR38" s="241"/>
      <c r="DS38" s="241">
        <f t="shared" si="3"/>
        <v>-506.00556342662821</v>
      </c>
    </row>
    <row r="39" spans="1:123" ht="15.75" customHeight="1">
      <c r="A39" s="243">
        <v>35</v>
      </c>
      <c r="B39" s="244">
        <f>B38*(1+'Immobilie als Kapitalanlage'!$D$47)</f>
        <v>352734.08625178575</v>
      </c>
      <c r="C39" s="241">
        <f>$C$4*(1+'Immobilie als Kapitalanlage'!$D$47)^A39</f>
        <v>0</v>
      </c>
      <c r="D39" s="244">
        <f t="shared" si="69"/>
        <v>352734.08625178575</v>
      </c>
      <c r="E39" s="138"/>
      <c r="F39" s="245">
        <f>MAX(-FV('Immobilie als Kapitalanlage'!$D$26/12,A39*12,(-I39/12),'Immobilie als Kapitalanlage'!$C$25,0),0)</f>
        <v>0</v>
      </c>
      <c r="G39" s="245">
        <f>IF(I39-H39&gt;G38,F38*'Immobilie als Kapitalanlage'!$D$26,I39-H39)</f>
        <v>193.99808834809403</v>
      </c>
      <c r="H39" s="241">
        <f t="shared" si="4"/>
        <v>5542.8025242312578</v>
      </c>
      <c r="I39" s="241">
        <f>$F$4*('Immobilie als Kapitalanlage'!$D$26+'Immobilie als Kapitalanlage'!$D$36)</f>
        <v>12450</v>
      </c>
      <c r="J39" s="245">
        <f>MAX((-FV('Immobilie als Kapitalanlage'!$C$85/12,(A39-$A$14)*12,(-M39/12),$J$14,0)),0)</f>
        <v>29246.994014182594</v>
      </c>
      <c r="K39" s="241">
        <f t="shared" si="98"/>
        <v>1406.5039681843464</v>
      </c>
      <c r="L39" s="241">
        <f t="shared" si="99"/>
        <v>10854.893898258801</v>
      </c>
      <c r="M39" s="241">
        <f>$J$14*('Immobilie als Kapitalanlage'!$C$85+'Immobilie als Kapitalanlage'!$C$86)</f>
        <v>12261.397866443147</v>
      </c>
      <c r="N39" s="245">
        <f>MAX((-FV('Immobilie als Kapitalanlage'!$C$88/12,(A39-$A$19)*12,(-Q39/12),$N$19,0)),0)</f>
        <v>31449.606581025291</v>
      </c>
      <c r="O39" s="245">
        <f t="shared" si="115"/>
        <v>1097.4260437111679</v>
      </c>
      <c r="P39" s="241">
        <f t="shared" si="116"/>
        <v>9429.9322957475088</v>
      </c>
      <c r="Q39" s="241">
        <f>$N$19*('Immobilie als Kapitalanlage'!$C$88+'Immobilie als Kapitalanlage'!$C$89)</f>
        <v>10527.358339458677</v>
      </c>
      <c r="R39" s="250">
        <f t="shared" si="6"/>
        <v>-2856.3128434496707</v>
      </c>
      <c r="S39" s="250">
        <f>'Immobilie als Kapitalanlage'!$C$27*12*(1+'Immobilie als Kapitalanlage'!$D$44)^A38</f>
        <v>-479.97349263898911</v>
      </c>
      <c r="T39" s="250">
        <f>'Immobilie als Kapitalanlage'!$C$29*12*(1+'Immobilie als Kapitalanlage'!$D$44)^A38</f>
        <v>-1670.4959792827563</v>
      </c>
      <c r="U39" s="250">
        <f>'Immobilie als Kapitalanlage'!$C$30*12*(1+'Immobilie als Kapitalanlage'!$D$44)^A38</f>
        <v>-705.84337152792523</v>
      </c>
      <c r="V39" s="250">
        <f>'Immobilie als Kapitalanlage'!$C$28*12*(1+'Immobilie als Kapitalanlage'!$D$44)^A38</f>
        <v>-1199.9337315974728</v>
      </c>
      <c r="W39" s="241">
        <f>$W$5*(1+'Immobilie als Kapitalanlage'!$D$43)^A38</f>
        <v>19998.895526624547</v>
      </c>
      <c r="X39" s="241">
        <f>$X$5*(1+'Immobilie als Kapitalanlage'!$D$43)^A38</f>
        <v>22798.740900351979</v>
      </c>
      <c r="Y39" s="241">
        <f>-'Immobilie als Kapitalanlage'!$C$25*'Immobilie als Kapitalanlage'!$D$99</f>
        <v>0</v>
      </c>
      <c r="Z39" s="241">
        <f t="shared" si="7"/>
        <v>0</v>
      </c>
      <c r="AA39" s="241">
        <f>FV((((1+'Immobilie als Kapitalanlage'!$D$80)^(1/12)-1)),A39*12,Y39/12,-'Immobilie als Kapitalanlage'!$G$95,)</f>
        <v>0</v>
      </c>
      <c r="AB39" s="241">
        <f>$AB$5*(1+'Immobilie als Kapitalanlage'!$D$51)^A38</f>
        <v>156854.08256176117</v>
      </c>
      <c r="AC39" s="241">
        <f>IF(AND(AB39&gt;Steuern!$D$6,AB39&lt;Steuern!$D$10),INT((Steuern!$H$8*(AB39-Steuern!$D$6)/10000+Steuern!$I$8)*(AB39-Steuern!$D$6)/10000),IF(AND(AB39&gt;Steuern!$F$8,AB39&lt;Steuern!$D$12),INT((Steuern!$H$10*(AB39-Steuern!$F$8)/10000+Steuern!$I$10)*(AB39-Steuern!$F$8)/10000+Steuern!$J$10),IF(AND(AB39&gt;Steuern!$F$10,AB39&lt;Steuern!$D$14),INT(AB39*Steuern!$H$12-Steuern!$I$12),IF(AB39&gt;Steuern!$F$12,INT(AB39*Steuern!$H$14-Steuern!$I$14),0))))</f>
        <v>55905</v>
      </c>
      <c r="AD39" s="241">
        <f>IF(AND(AB39/2&gt;Steuern!$D$6,AB39/2&lt;Steuern!$D$10),INT((Steuern!$H$8*(AB39/2-Steuern!$D$8)/10000+Steuern!$I$8)*(AB39/2-Steuern!$D$6)/10000),IF(AND(AB39/2&gt;Steuern!$F$8,AB39/2&lt;Steuern!$D$12),INT((Steuern!$H$10*(AB39/2-Steuern!$F$8)/10000+Steuern!$I$10)*(AB39/2-Steuern!$F$8)/10000+Steuern!$J$10),IF(AND(AB39/2&gt;Steuern!$F$10,AB39/2&lt;Steuern!$D$14),INT(AB39/2*Steuern!$H$12-Steuern!$I$12),IF(AB39/2&gt;Steuern!$F$12,INT(AB39/2*Steuern!$H$14-Steuern!$I$14),0))))*2</f>
        <v>45932</v>
      </c>
      <c r="AE39" s="241">
        <f t="shared" si="8"/>
        <v>16948.584594826782</v>
      </c>
      <c r="AF39" s="241">
        <f t="shared" si="9"/>
        <v>15736.07871499053</v>
      </c>
      <c r="AG39" s="241">
        <f t="shared" si="10"/>
        <v>16045.156639463708</v>
      </c>
      <c r="AH39" s="241">
        <f t="shared" si="11"/>
        <v>19748.429968554214</v>
      </c>
      <c r="AI39" s="241">
        <f t="shared" si="12"/>
        <v>18535.924088717962</v>
      </c>
      <c r="AJ39" s="241">
        <f t="shared" si="13"/>
        <v>18845.002013191141</v>
      </c>
      <c r="AK39" s="248"/>
      <c r="AL39" s="241">
        <f>('Immobilie als Kapitalanlage'!$C$16+'Immobilie als Kapitalanlage'!$C$20+'Immobilie als Kapitalanlage'!$C$15)*(1-'Immobilie als Kapitalanlage'!$D$53)</f>
        <v>190858.5</v>
      </c>
      <c r="AM39" s="241">
        <f>AL39*'Immobilie als Kapitalanlage'!$D$52</f>
        <v>3817.17</v>
      </c>
      <c r="AN39" s="241">
        <f t="shared" si="14"/>
        <v>169985.49715658792</v>
      </c>
      <c r="AO39" s="241">
        <f>IF(AND(AN39&gt;Steuern!$D$6,AN39&lt;Steuern!$D$10),INT((Steuern!H34*(AN39-Steuern!$D$8)/10000+Steuern!$I$8)*(AN39-Steuern!$D$6)/10000),IF(AND(AN39&gt;Steuern!$F$8,AN39&lt;Steuern!$D$12),INT((Steuern!$H$10*(AN39-Steuern!$F$8)/10000+Steuern!$I$10)*(AN39-Steuern!$F$8)/10000+Steuern!$J$10),IF(AND(AN39&gt;Steuern!$F$10,AN39&lt;Steuern!$D$14),INT(AN39*Steuern!$H$12-Steuern!$I$12),IF(AN39&gt;Steuern!$F$12,INT(AN39*Steuern!$H$14-Steuern!$I$14),0))))</f>
        <v>61420</v>
      </c>
      <c r="AP39" s="241">
        <f>IF(AND(AN39/2&gt;Steuern!$D$6,AN39/2&lt;Steuern!$D$10),INT((Steuern!$H$8*(AN39/2-Steuern!$D$8)/10000+Steuern!$I$8)*(AN39/2-Steuern!$D$6)/10000),IF(AND(AN39/2&gt;Steuern!$F$8,AN39/2&lt;Steuern!$D$12),INT((Steuern!$H$10*(AN39/2-Steuern!$F$8)/10000+Steuern!$I$10)*(AN39/2-Steuern!$F$8)/10000+Steuern!$J$10),IF(AND(AN39/2&gt;Steuern!$F$10,AN39/2&lt;Steuern!$D$14),INT(AN39/2*Steuern!$H$12-Steuern!$I$12),IF(AN39/2&gt;Steuern!$F$12,INT(AN39/2*Steuern!$H$14-Steuern!$I$14),0))))*2</f>
        <v>51446</v>
      </c>
      <c r="AQ39" s="241">
        <f t="shared" si="15"/>
        <v>168772.99127675168</v>
      </c>
      <c r="AR39" s="241">
        <f>IF(AND(AQ39&gt;Steuern!$D$6,AQ39&lt;Steuern!$D$10),INT((Steuern!$H$8*(AQ39-Steuern!$D$6)/10000+Steuern!$I$8)*(AQ39-Steuern!$D$6)/10000),IF(AND(AQ39&gt;Steuern!$F$8,AQ39&lt;Steuern!$D$12),INT((Steuern!$H$10*(AQ39-Steuern!$F$8)/10000+Steuern!$I$10)*(AQ39-Steuern!$F$8)/10000+Steuern!$J$10),IF(AND(AQ39&gt;Steuern!$F$10,AQ39&lt;Steuern!$D$14),INT(AQ39*Steuern!$H$12-Steuern!$I$12),IF(AQ39&gt;Steuern!$F$12,INT(AQ39*Steuern!$H$14-Steuern!$I$14),0))))</f>
        <v>60911</v>
      </c>
      <c r="AS39" s="241">
        <f t="shared" si="16"/>
        <v>169082.06920122486</v>
      </c>
      <c r="AT39" s="241">
        <f>IF(AND(AS39&gt;Steuern!$D$6,AS39&lt;Steuern!$D$10),INT((Steuern!$H$8*(AS39-Steuern!$D$6)/10000+Steuern!$I$8)*(AS39-Steuern!$D$6)/10000),IF(AND(AS39&gt;Steuern!$F$8,AS39&lt;Steuern!$D$12),INT((Steuern!$H$10*(AS39-Steuern!$F$8)/10000+Steuern!$I$10)*(AS39-Steuern!$F$8)/10000+Steuern!$J$10),IF(AND(AS39&gt;Steuern!$F$10,AS39&lt;Steuern!$D$14),INT(AS39*Steuern!$H$12-Steuern!$I$12),IF(AS39&gt;Steuern!$F$12,INT(AS39*Steuern!$H$14-Steuern!$I$14),0))))</f>
        <v>61041</v>
      </c>
      <c r="AU39" s="241">
        <f t="shared" si="17"/>
        <v>172785.34253031536</v>
      </c>
      <c r="AV39" s="241">
        <f>IF(AND(AU39&gt;Steuern!$D$6,AU39&lt;Steuern!$D$10),INT((Steuern!$H$8*(AU39-Steuern!$D$6)/10000+Steuern!$I$8)*(AU39-Steuern!$D$6)/10000),IF(AND(AU39&gt;Steuern!$F$8,AU39&lt;Steuern!$D$12),INT((Steuern!$H$10*(AU39-Steuern!$F$8)/10000+Steuern!$I$10)*(AU39-Steuern!$F$8)/10000+Steuern!$J$10),IF(AND(AU39&gt;Steuern!$F$10,AU39&lt;Steuern!$D$14),INT(AU39*Steuern!$H$12-Steuern!$I$12),IF(AU39&gt;Steuern!$F$12,INT(AU39*Steuern!$H$14-Steuern!$I$14),0))))</f>
        <v>62596</v>
      </c>
      <c r="AW39" s="241">
        <f>IF(AND(AU39/2&gt;Steuern!$D$6,AU39/2&lt;Steuern!$D$10),INT((Steuern!$H$8*(AU39/2-Steuern!$D$8)/10000+Steuern!$I$8)*(AU39/2-Steuern!$D$6)/10000),IF(AND(AU39/2&gt;Steuern!$F$8,AU39/2&lt;Steuern!$D$12),INT((Steuern!$H$10*(AU39/2-Steuern!$F$8)/10000+Steuern!$I$10)*(AU39/2-Steuern!$F$8)/10000+Steuern!$J$10),IF(AND(AU39/2&gt;Steuern!$F$10,AU39/2&lt;Steuern!$D$14),INT(AU39/2*Steuern!$H$12-Steuern!$I$12),IF(AU39/2&gt;Steuern!$F$12,INT(AU39/2*Steuern!$H$14-Steuern!$I$14),0))))*2</f>
        <v>52622</v>
      </c>
      <c r="AX39" s="241">
        <f t="shared" si="18"/>
        <v>171572.83665047912</v>
      </c>
      <c r="AY39" s="241">
        <f>IF(AND(AX39&gt;Steuern!$D$6,AX39&lt;Steuern!$D$10),INT((Steuern!N34*(AX39-Steuern!$D$8)/10000+Steuern!$I$8)*(AX39-Steuern!$D$6)/10000),IF(AND(AX39&gt;Steuern!$F$8,AX39&lt;Steuern!$D$12),INT((Steuern!$H$10*(AX39-Steuern!$F$8)/10000+Steuern!$I$10)*(AX39-Steuern!$F$8)/10000+Steuern!$J$10),IF(AND(AX39&gt;Steuern!$F$10,AX39&lt;Steuern!$D$14),INT(AX39*Steuern!$H$12-Steuern!$I$12),IF(AX39&gt;Steuern!$F$12,INT(AX39*Steuern!$H$14-Steuern!$I$14),0))))</f>
        <v>62087</v>
      </c>
      <c r="AZ39" s="241">
        <f t="shared" si="19"/>
        <v>171881.9145749523</v>
      </c>
      <c r="BA39" s="241">
        <f>IF(AND(AZ39&gt;Steuern!$D$6,AZ39&lt;Steuern!$D$10),INT((Steuern!P34*(AZ39-Steuern!$D$8)/10000+Steuern!$I$8)*(AZ39-Steuern!$D$6)/10000),IF(AND(AZ39&gt;Steuern!$F$8,AZ39&lt;Steuern!$D$12),INT((Steuern!$H$10*(AZ39-Steuern!$F$8)/10000+Steuern!$I$10)*(AZ39-Steuern!$F$8)/10000+Steuern!$J$10),IF(AND(AZ39&gt;Steuern!$F$10,AZ39&lt;Steuern!$D$14),INT(AZ39*Steuern!$H$12-Steuern!$I$12),IF(AZ39&gt;Steuern!$F$12,INT(AZ39*Steuern!$H$14-Steuern!$I$14),0))))</f>
        <v>62217</v>
      </c>
      <c r="BB39" s="241">
        <f t="shared" ref="BB39:BC39" si="155">AC39-AO39</f>
        <v>-5515</v>
      </c>
      <c r="BC39" s="241">
        <f t="shared" si="155"/>
        <v>-5514</v>
      </c>
      <c r="BD39" s="241">
        <f t="shared" si="21"/>
        <v>-5006</v>
      </c>
      <c r="BE39" s="241">
        <f t="shared" si="22"/>
        <v>-5136</v>
      </c>
      <c r="BF39" s="241">
        <f t="shared" ref="BF39:BG39" si="156">AC39-AV39</f>
        <v>-6691</v>
      </c>
      <c r="BG39" s="241">
        <f t="shared" si="156"/>
        <v>-6690</v>
      </c>
      <c r="BH39" s="241">
        <f t="shared" si="24"/>
        <v>-6182</v>
      </c>
      <c r="BI39" s="241">
        <f t="shared" si="25"/>
        <v>-6312</v>
      </c>
      <c r="BJ39" s="241">
        <f t="shared" si="26"/>
        <v>4690.8483389980502</v>
      </c>
      <c r="BK39" s="241">
        <f t="shared" si="27"/>
        <v>4691.8483389980502</v>
      </c>
      <c r="BL39" s="241">
        <f t="shared" si="28"/>
        <v>-1324.7489148657442</v>
      </c>
      <c r="BM39" s="241">
        <f t="shared" si="29"/>
        <v>279.29061211872613</v>
      </c>
      <c r="BN39" s="241">
        <f t="shared" si="30"/>
        <v>4690.8483389980502</v>
      </c>
      <c r="BO39" s="241">
        <f t="shared" si="31"/>
        <v>-98031.704082131633</v>
      </c>
      <c r="BP39" s="241">
        <f t="shared" si="32"/>
        <v>4691.8483389980502</v>
      </c>
      <c r="BQ39" s="241">
        <f t="shared" si="33"/>
        <v>-99322.704082131633</v>
      </c>
      <c r="BR39" s="241">
        <f t="shared" si="34"/>
        <v>-1324.7489148657442</v>
      </c>
      <c r="BS39" s="241">
        <f t="shared" si="35"/>
        <v>-86909.850130630977</v>
      </c>
      <c r="BT39" s="241">
        <f t="shared" si="36"/>
        <v>279.29061211872613</v>
      </c>
      <c r="BU39" s="241">
        <f t="shared" si="37"/>
        <v>-66418.070258725827</v>
      </c>
      <c r="BV39" s="241">
        <f t="shared" si="38"/>
        <v>6314.6937127254823</v>
      </c>
      <c r="BW39" s="241">
        <f t="shared" si="39"/>
        <v>6315.6937127254823</v>
      </c>
      <c r="BX39" s="241">
        <f t="shared" si="40"/>
        <v>299.09645886168801</v>
      </c>
      <c r="BY39" s="241">
        <f t="shared" si="41"/>
        <v>1903.1359858461583</v>
      </c>
      <c r="BZ39" s="241">
        <f t="shared" si="42"/>
        <v>6314.6937127254823</v>
      </c>
      <c r="CA39" s="241">
        <f t="shared" si="43"/>
        <v>-56627.59002203244</v>
      </c>
      <c r="CB39" s="241">
        <f t="shared" si="44"/>
        <v>6315.6937127254823</v>
      </c>
      <c r="CC39" s="241">
        <f t="shared" si="45"/>
        <v>-56156.59002203244</v>
      </c>
      <c r="CD39" s="241">
        <f t="shared" si="46"/>
        <v>299.09645886168801</v>
      </c>
      <c r="CE39" s="241">
        <f t="shared" si="47"/>
        <v>-45501.736070531755</v>
      </c>
      <c r="CF39" s="241">
        <f t="shared" si="48"/>
        <v>1903.1359858461583</v>
      </c>
      <c r="CG39" s="241">
        <f t="shared" si="49"/>
        <v>-25010.956198626627</v>
      </c>
      <c r="CH39" s="248"/>
      <c r="CI39" s="249">
        <f t="shared" ca="1" si="64"/>
        <v>58319</v>
      </c>
      <c r="CJ39" s="241">
        <f t="shared" si="50"/>
        <v>4690.8483389980502</v>
      </c>
      <c r="CK39" s="248"/>
      <c r="CL39" s="248"/>
      <c r="CM39" s="248"/>
      <c r="CN39" s="241">
        <f t="shared" si="54"/>
        <v>4690.8483389980502</v>
      </c>
      <c r="CO39" s="248"/>
      <c r="CP39" s="248"/>
      <c r="CQ39" s="248"/>
      <c r="CR39" s="241"/>
      <c r="CS39" s="248"/>
      <c r="CT39" s="248"/>
      <c r="CU39" s="248"/>
      <c r="CV39" s="241"/>
      <c r="CW39" s="248"/>
      <c r="CX39" s="248"/>
      <c r="CY39" s="248"/>
      <c r="CZ39" s="241"/>
      <c r="DA39" s="241">
        <f t="shared" si="55"/>
        <v>6314.6937127254823</v>
      </c>
      <c r="DB39" s="248"/>
      <c r="DC39" s="248"/>
      <c r="DD39" s="248"/>
      <c r="DE39" s="241">
        <f t="shared" si="59"/>
        <v>6314.6937127254823</v>
      </c>
      <c r="DF39" s="248"/>
      <c r="DG39" s="248"/>
      <c r="DH39" s="248"/>
      <c r="DI39" s="241"/>
      <c r="DJ39" s="248"/>
      <c r="DK39" s="248"/>
      <c r="DL39" s="248"/>
      <c r="DM39" s="241"/>
      <c r="DN39" s="248"/>
      <c r="DO39" s="248"/>
      <c r="DP39" s="248"/>
      <c r="DQ39" s="241"/>
      <c r="DR39" s="241"/>
      <c r="DS39" s="241">
        <f t="shared" si="3"/>
        <v>6314.6937127254823</v>
      </c>
    </row>
    <row r="40" spans="1:123" ht="15.75" customHeight="1">
      <c r="A40" s="243">
        <v>36</v>
      </c>
      <c r="B40" s="244">
        <f>B39*(1+'Immobilie als Kapitalanlage'!$D$47)</f>
        <v>356261.42711430363</v>
      </c>
      <c r="C40" s="241">
        <f>$C$4*(1+'Immobilie als Kapitalanlage'!$D$47)^A40</f>
        <v>0</v>
      </c>
      <c r="D40" s="244">
        <f t="shared" si="69"/>
        <v>356261.42711430363</v>
      </c>
      <c r="E40" s="138"/>
      <c r="F40" s="245">
        <f>MAX(-FV('Immobilie als Kapitalanlage'!$D$26/12,A40*12,(-I40/12),'Immobilie als Kapitalanlage'!$C$25,0),0)</f>
        <v>0</v>
      </c>
      <c r="G40" s="245">
        <f>IF(I40-H40&gt;G39,F39*'Immobilie als Kapitalanlage'!$D$26,I40-H40)</f>
        <v>0</v>
      </c>
      <c r="H40" s="241">
        <f t="shared" si="4"/>
        <v>0</v>
      </c>
      <c r="I40" s="241">
        <f>$F$4*('Immobilie als Kapitalanlage'!$D$26+'Immobilie als Kapitalanlage'!$D$36)</f>
        <v>12450</v>
      </c>
      <c r="J40" s="245">
        <f>MAX((-FV('Immobilie als Kapitalanlage'!$C$85/12,(A40-$A$14)*12,(-M40/12),$J$14,0)),0)</f>
        <v>17949.854990278254</v>
      </c>
      <c r="K40" s="241">
        <f t="shared" si="98"/>
        <v>964.25884253880758</v>
      </c>
      <c r="L40" s="241">
        <f t="shared" si="99"/>
        <v>11297.139023904339</v>
      </c>
      <c r="M40" s="241">
        <f>$J$14*('Immobilie als Kapitalanlage'!$C$85+'Immobilie als Kapitalanlage'!$C$86)</f>
        <v>12261.397866443147</v>
      </c>
      <c r="N40" s="245">
        <f>MAX((-FV('Immobilie als Kapitalanlage'!$C$88/12,(A40-$A$19)*12,(-Q40/12),$N$19,0)),0)</f>
        <v>21732.853870873223</v>
      </c>
      <c r="O40" s="245">
        <f t="shared" si="115"/>
        <v>810.60562930660853</v>
      </c>
      <c r="P40" s="241">
        <f t="shared" si="116"/>
        <v>9716.7527101520682</v>
      </c>
      <c r="Q40" s="241">
        <f>$N$19*('Immobilie als Kapitalanlage'!$C$88+'Immobilie als Kapitalanlage'!$C$89)</f>
        <v>10527.358339458677</v>
      </c>
      <c r="R40" s="250">
        <f t="shared" si="6"/>
        <v>-2913.4391003186643</v>
      </c>
      <c r="S40" s="250">
        <f>'Immobilie als Kapitalanlage'!$C$27*12*(1+'Immobilie als Kapitalanlage'!$D$44)^A39</f>
        <v>-489.57296249176886</v>
      </c>
      <c r="T40" s="250">
        <f>'Immobilie als Kapitalanlage'!$C$29*12*(1+'Immobilie als Kapitalanlage'!$D$44)^A39</f>
        <v>-1703.9058988684114</v>
      </c>
      <c r="U40" s="250">
        <f>'Immobilie als Kapitalanlage'!$C$30*12*(1+'Immobilie als Kapitalanlage'!$D$44)^A39</f>
        <v>-719.96023895848373</v>
      </c>
      <c r="V40" s="250">
        <f>'Immobilie als Kapitalanlage'!$C$28*12*(1+'Immobilie als Kapitalanlage'!$D$44)^A39</f>
        <v>-1223.9324062294222</v>
      </c>
      <c r="W40" s="241">
        <f>$W$5*(1+'Immobilie als Kapitalanlage'!$D$43)^A39</f>
        <v>20398.873437157039</v>
      </c>
      <c r="X40" s="241">
        <f>$X$5*(1+'Immobilie als Kapitalanlage'!$D$43)^A39</f>
        <v>23254.715718359021</v>
      </c>
      <c r="Y40" s="241">
        <f>-'Immobilie als Kapitalanlage'!$C$25*'Immobilie als Kapitalanlage'!$D$99</f>
        <v>0</v>
      </c>
      <c r="Z40" s="241">
        <f t="shared" si="7"/>
        <v>0</v>
      </c>
      <c r="AA40" s="241">
        <f>FV((((1+'Immobilie als Kapitalanlage'!$D$80)^(1/12)-1)),A40*12,Y40/12,-'Immobilie als Kapitalanlage'!$G$95,)</f>
        <v>0</v>
      </c>
      <c r="AB40" s="241">
        <f>$AB$5*(1+'Immobilie als Kapitalanlage'!$D$51)^A39</f>
        <v>159991.16421299637</v>
      </c>
      <c r="AC40" s="241">
        <f>IF(AND(AB40&gt;Steuern!$D$6,AB40&lt;Steuern!$D$10),INT((Steuern!$H$8*(AB40-Steuern!$D$6)/10000+Steuern!$I$8)*(AB40-Steuern!$D$6)/10000),IF(AND(AB40&gt;Steuern!$F$8,AB40&lt;Steuern!$D$12),INT((Steuern!$H$10*(AB40-Steuern!$F$8)/10000+Steuern!$I$10)*(AB40-Steuern!$F$8)/10000+Steuern!$J$10),IF(AND(AB40&gt;Steuern!$F$10,AB40&lt;Steuern!$D$14),INT(AB40*Steuern!$H$12-Steuern!$I$12),IF(AB40&gt;Steuern!$F$12,INT(AB40*Steuern!$H$14-Steuern!$I$14),0))))</f>
        <v>57223</v>
      </c>
      <c r="AD40" s="241">
        <f>IF(AND(AB40/2&gt;Steuern!$D$6,AB40/2&lt;Steuern!$D$10),INT((Steuern!$H$8*(AB40/2-Steuern!$D$8)/10000+Steuern!$I$8)*(AB40/2-Steuern!$D$6)/10000),IF(AND(AB40/2&gt;Steuern!$F$8,AB40/2&lt;Steuern!$D$12),INT((Steuern!$H$10*(AB40/2-Steuern!$F$8)/10000+Steuern!$I$10)*(AB40/2-Steuern!$F$8)/10000+Steuern!$J$10),IF(AND(AB40/2&gt;Steuern!$F$10,AB40/2&lt;Steuern!$D$14),INT(AB40/2*Steuern!$H$12-Steuern!$I$12),IF(AB40/2&gt;Steuern!$F$12,INT(AB40/2*Steuern!$H$14-Steuern!$I$14),0))))*2</f>
        <v>47250</v>
      </c>
      <c r="AE40" s="241">
        <f t="shared" si="8"/>
        <v>17485.434336838374</v>
      </c>
      <c r="AF40" s="241">
        <f t="shared" si="9"/>
        <v>16521.175494299569</v>
      </c>
      <c r="AG40" s="241">
        <f t="shared" si="10"/>
        <v>16674.828707531768</v>
      </c>
      <c r="AH40" s="241">
        <f t="shared" si="11"/>
        <v>20341.276618040356</v>
      </c>
      <c r="AI40" s="241">
        <f t="shared" si="12"/>
        <v>19377.01777550155</v>
      </c>
      <c r="AJ40" s="241">
        <f t="shared" si="13"/>
        <v>19530.670988733749</v>
      </c>
      <c r="AK40" s="248"/>
      <c r="AL40" s="241">
        <f>('Immobilie als Kapitalanlage'!$C$16+'Immobilie als Kapitalanlage'!$C$20+'Immobilie als Kapitalanlage'!$C$15)*(1-'Immobilie als Kapitalanlage'!$D$53)</f>
        <v>190858.5</v>
      </c>
      <c r="AM40" s="241">
        <f>AL40*'Immobilie als Kapitalanlage'!$D$52</f>
        <v>3817.17</v>
      </c>
      <c r="AN40" s="241">
        <f t="shared" si="14"/>
        <v>173659.42854983473</v>
      </c>
      <c r="AO40" s="241">
        <f>IF(AND(AN40&gt;Steuern!$D$6,AN40&lt;Steuern!$D$10),INT((Steuern!H35*(AN40-Steuern!$D$8)/10000+Steuern!$I$8)*(AN40-Steuern!$D$6)/10000),IF(AND(AN40&gt;Steuern!$F$8,AN40&lt;Steuern!$D$12),INT((Steuern!$H$10*(AN40-Steuern!$F$8)/10000+Steuern!$I$10)*(AN40-Steuern!$F$8)/10000+Steuern!$J$10),IF(AND(AN40&gt;Steuern!$F$10,AN40&lt;Steuern!$D$14),INT(AN40*Steuern!$H$12-Steuern!$I$12),IF(AN40&gt;Steuern!$F$12,INT(AN40*Steuern!$H$14-Steuern!$I$14),0))))</f>
        <v>62963</v>
      </c>
      <c r="AP40" s="241">
        <f>IF(AND(AN40/2&gt;Steuern!$D$6,AN40/2&lt;Steuern!$D$10),INT((Steuern!$H$8*(AN40/2-Steuern!$D$8)/10000+Steuern!$I$8)*(AN40/2-Steuern!$D$6)/10000),IF(AND(AN40/2&gt;Steuern!$F$8,AN40/2&lt;Steuern!$D$12),INT((Steuern!$H$10*(AN40/2-Steuern!$F$8)/10000+Steuern!$I$10)*(AN40/2-Steuern!$F$8)/10000+Steuern!$J$10),IF(AND(AN40/2&gt;Steuern!$F$10,AN40/2&lt;Steuern!$D$14),INT(AN40/2*Steuern!$H$12-Steuern!$I$12),IF(AN40/2&gt;Steuern!$F$12,INT(AN40/2*Steuern!$H$14-Steuern!$I$14),0))))*2</f>
        <v>52990</v>
      </c>
      <c r="AQ40" s="241">
        <f t="shared" si="15"/>
        <v>172695.16970729592</v>
      </c>
      <c r="AR40" s="241">
        <f>IF(AND(AQ40&gt;Steuern!$D$6,AQ40&lt;Steuern!$D$10),INT((Steuern!$H$8*(AQ40-Steuern!$D$6)/10000+Steuern!$I$8)*(AQ40-Steuern!$D$6)/10000),IF(AND(AQ40&gt;Steuern!$F$8,AQ40&lt;Steuern!$D$12),INT((Steuern!$H$10*(AQ40-Steuern!$F$8)/10000+Steuern!$I$10)*(AQ40-Steuern!$F$8)/10000+Steuern!$J$10),IF(AND(AQ40&gt;Steuern!$F$10,AQ40&lt;Steuern!$D$14),INT(AQ40*Steuern!$H$12-Steuern!$I$12),IF(AQ40&gt;Steuern!$F$12,INT(AQ40*Steuern!$H$14-Steuern!$I$14),0))))</f>
        <v>62558</v>
      </c>
      <c r="AS40" s="241">
        <f t="shared" si="16"/>
        <v>172848.82292052812</v>
      </c>
      <c r="AT40" s="241">
        <f>IF(AND(AS40&gt;Steuern!$D$6,AS40&lt;Steuern!$D$10),INT((Steuern!$H$8*(AS40-Steuern!$D$6)/10000+Steuern!$I$8)*(AS40-Steuern!$D$6)/10000),IF(AND(AS40&gt;Steuern!$F$8,AS40&lt;Steuern!$D$12),INT((Steuern!$H$10*(AS40-Steuern!$F$8)/10000+Steuern!$I$10)*(AS40-Steuern!$F$8)/10000+Steuern!$J$10),IF(AND(AS40&gt;Steuern!$F$10,AS40&lt;Steuern!$D$14),INT(AS40*Steuern!$H$12-Steuern!$I$12),IF(AS40&gt;Steuern!$F$12,INT(AS40*Steuern!$H$14-Steuern!$I$14),0))))</f>
        <v>62623</v>
      </c>
      <c r="AU40" s="241">
        <f t="shared" si="17"/>
        <v>176515.2708310367</v>
      </c>
      <c r="AV40" s="241">
        <f>IF(AND(AU40&gt;Steuern!$D$6,AU40&lt;Steuern!$D$10),INT((Steuern!$H$8*(AU40-Steuern!$D$6)/10000+Steuern!$I$8)*(AU40-Steuern!$D$6)/10000),IF(AND(AU40&gt;Steuern!$F$8,AU40&lt;Steuern!$D$12),INT((Steuern!$H$10*(AU40-Steuern!$F$8)/10000+Steuern!$I$10)*(AU40-Steuern!$F$8)/10000+Steuern!$J$10),IF(AND(AU40&gt;Steuern!$F$10,AU40&lt;Steuern!$D$14),INT(AU40*Steuern!$H$12-Steuern!$I$12),IF(AU40&gt;Steuern!$F$12,INT(AU40*Steuern!$H$14-Steuern!$I$14),0))))</f>
        <v>64163</v>
      </c>
      <c r="AW40" s="241">
        <f>IF(AND(AU40/2&gt;Steuern!$D$6,AU40/2&lt;Steuern!$D$10),INT((Steuern!$H$8*(AU40/2-Steuern!$D$8)/10000+Steuern!$I$8)*(AU40/2-Steuern!$D$6)/10000),IF(AND(AU40/2&gt;Steuern!$F$8,AU40/2&lt;Steuern!$D$12),INT((Steuern!$H$10*(AU40/2-Steuern!$F$8)/10000+Steuern!$I$10)*(AU40/2-Steuern!$F$8)/10000+Steuern!$J$10),IF(AND(AU40/2&gt;Steuern!$F$10,AU40/2&lt;Steuern!$D$14),INT(AU40/2*Steuern!$H$12-Steuern!$I$12),IF(AU40/2&gt;Steuern!$F$12,INT(AU40/2*Steuern!$H$14-Steuern!$I$14),0))))*2</f>
        <v>54190</v>
      </c>
      <c r="AX40" s="241">
        <f t="shared" si="18"/>
        <v>175551.01198849792</v>
      </c>
      <c r="AY40" s="241">
        <f>IF(AND(AX40&gt;Steuern!$D$6,AX40&lt;Steuern!$D$10),INT((Steuern!N35*(AX40-Steuern!$D$8)/10000+Steuern!$I$8)*(AX40-Steuern!$D$6)/10000),IF(AND(AX40&gt;Steuern!$F$8,AX40&lt;Steuern!$D$12),INT((Steuern!$H$10*(AX40-Steuern!$F$8)/10000+Steuern!$I$10)*(AX40-Steuern!$F$8)/10000+Steuern!$J$10),IF(AND(AX40&gt;Steuern!$F$10,AX40&lt;Steuern!$D$14),INT(AX40*Steuern!$H$12-Steuern!$I$12),IF(AX40&gt;Steuern!$F$12,INT(AX40*Steuern!$H$14-Steuern!$I$14),0))))</f>
        <v>63758</v>
      </c>
      <c r="AZ40" s="241">
        <f t="shared" si="19"/>
        <v>175704.66520173012</v>
      </c>
      <c r="BA40" s="241">
        <f>IF(AND(AZ40&gt;Steuern!$D$6,AZ40&lt;Steuern!$D$10),INT((Steuern!P35*(AZ40-Steuern!$D$8)/10000+Steuern!$I$8)*(AZ40-Steuern!$D$6)/10000),IF(AND(AZ40&gt;Steuern!$F$8,AZ40&lt;Steuern!$D$12),INT((Steuern!$H$10*(AZ40-Steuern!$F$8)/10000+Steuern!$I$10)*(AZ40-Steuern!$F$8)/10000+Steuern!$J$10),IF(AND(AZ40&gt;Steuern!$F$10,AZ40&lt;Steuern!$D$14),INT(AZ40*Steuern!$H$12-Steuern!$I$12),IF(AZ40&gt;Steuern!$F$12,INT(AZ40*Steuern!$H$14-Steuern!$I$14),0))))</f>
        <v>63822</v>
      </c>
      <c r="BB40" s="241">
        <f t="shared" ref="BB40:BC40" si="157">AC40-AO40</f>
        <v>-5740</v>
      </c>
      <c r="BC40" s="241">
        <f t="shared" si="157"/>
        <v>-5740</v>
      </c>
      <c r="BD40" s="241">
        <f t="shared" si="21"/>
        <v>-5335</v>
      </c>
      <c r="BE40" s="241">
        <f t="shared" si="22"/>
        <v>-5400</v>
      </c>
      <c r="BF40" s="241">
        <f t="shared" ref="BF40:BG40" si="158">AC40-AV40</f>
        <v>-6940</v>
      </c>
      <c r="BG40" s="241">
        <f t="shared" si="158"/>
        <v>-6940</v>
      </c>
      <c r="BH40" s="241">
        <f t="shared" si="24"/>
        <v>-6535</v>
      </c>
      <c r="BI40" s="241">
        <f t="shared" si="25"/>
        <v>-6599</v>
      </c>
      <c r="BJ40" s="241">
        <f t="shared" si="26"/>
        <v>10521.501930608953</v>
      </c>
      <c r="BK40" s="241">
        <f t="shared" si="27"/>
        <v>10521.501930608953</v>
      </c>
      <c r="BL40" s="241">
        <f t="shared" si="28"/>
        <v>-1334.8959358341963</v>
      </c>
      <c r="BM40" s="241">
        <f t="shared" si="29"/>
        <v>334.14359115027582</v>
      </c>
      <c r="BN40" s="241">
        <f t="shared" si="30"/>
        <v>10521.501930608953</v>
      </c>
      <c r="BO40" s="241">
        <f t="shared" si="31"/>
        <v>-87510.202151522681</v>
      </c>
      <c r="BP40" s="241">
        <f t="shared" si="32"/>
        <v>10521.501930608953</v>
      </c>
      <c r="BQ40" s="241">
        <f t="shared" si="33"/>
        <v>-88801.202151522681</v>
      </c>
      <c r="BR40" s="241">
        <f t="shared" si="34"/>
        <v>-1334.8959358341963</v>
      </c>
      <c r="BS40" s="241">
        <f t="shared" si="35"/>
        <v>-88244.746066465173</v>
      </c>
      <c r="BT40" s="241">
        <f t="shared" si="36"/>
        <v>334.14359115027582</v>
      </c>
      <c r="BU40" s="241">
        <f t="shared" si="37"/>
        <v>-66083.92666757555</v>
      </c>
      <c r="BV40" s="241">
        <f t="shared" si="38"/>
        <v>12177.344211810934</v>
      </c>
      <c r="BW40" s="241">
        <f t="shared" si="39"/>
        <v>12177.344211810934</v>
      </c>
      <c r="BX40" s="241">
        <f t="shared" si="40"/>
        <v>320.9463453677854</v>
      </c>
      <c r="BY40" s="241">
        <f t="shared" si="41"/>
        <v>1990.9858723522575</v>
      </c>
      <c r="BZ40" s="241">
        <f t="shared" si="42"/>
        <v>12177.344211810934</v>
      </c>
      <c r="CA40" s="241">
        <f t="shared" si="43"/>
        <v>-44450.245810221502</v>
      </c>
      <c r="CB40" s="241">
        <f t="shared" si="44"/>
        <v>12177.344211810934</v>
      </c>
      <c r="CC40" s="241">
        <f t="shared" si="45"/>
        <v>-43979.245810221502</v>
      </c>
      <c r="CD40" s="241">
        <f t="shared" si="46"/>
        <v>320.9463453677854</v>
      </c>
      <c r="CE40" s="241">
        <f t="shared" si="47"/>
        <v>-45180.789725163966</v>
      </c>
      <c r="CF40" s="241">
        <f t="shared" si="48"/>
        <v>1990.9858723522575</v>
      </c>
      <c r="CG40" s="241">
        <f t="shared" si="49"/>
        <v>-23019.970326274371</v>
      </c>
      <c r="CH40" s="248"/>
      <c r="CI40" s="249">
        <f t="shared" ca="1" si="64"/>
        <v>58685</v>
      </c>
      <c r="CJ40" s="241">
        <f t="shared" si="50"/>
        <v>10521.501930608953</v>
      </c>
      <c r="CK40" s="248"/>
      <c r="CL40" s="248"/>
      <c r="CM40" s="248"/>
      <c r="CN40" s="241">
        <f t="shared" si="54"/>
        <v>10521.501930608953</v>
      </c>
      <c r="CO40" s="248"/>
      <c r="CP40" s="248"/>
      <c r="CQ40" s="248"/>
      <c r="CR40" s="241"/>
      <c r="CS40" s="248"/>
      <c r="CT40" s="248"/>
      <c r="CU40" s="248"/>
      <c r="CV40" s="241"/>
      <c r="CW40" s="248"/>
      <c r="CX40" s="248"/>
      <c r="CY40" s="248"/>
      <c r="CZ40" s="241"/>
      <c r="DA40" s="241">
        <f t="shared" si="55"/>
        <v>12177.344211810934</v>
      </c>
      <c r="DB40" s="248"/>
      <c r="DC40" s="248"/>
      <c r="DD40" s="248"/>
      <c r="DE40" s="241">
        <f t="shared" si="59"/>
        <v>12177.344211810934</v>
      </c>
      <c r="DF40" s="248"/>
      <c r="DG40" s="248"/>
      <c r="DH40" s="248"/>
      <c r="DI40" s="241"/>
      <c r="DJ40" s="248"/>
      <c r="DK40" s="248"/>
      <c r="DL40" s="248"/>
      <c r="DM40" s="241"/>
      <c r="DN40" s="248"/>
      <c r="DO40" s="248"/>
      <c r="DP40" s="248"/>
      <c r="DQ40" s="241"/>
      <c r="DR40" s="241"/>
      <c r="DS40" s="241">
        <f t="shared" si="3"/>
        <v>12177.344211810934</v>
      </c>
    </row>
    <row r="41" spans="1:123" ht="15.75" customHeight="1">
      <c r="A41" s="243">
        <v>37</v>
      </c>
      <c r="B41" s="244">
        <f>B40*(1+'Immobilie als Kapitalanlage'!$D$47)</f>
        <v>359824.04138544668</v>
      </c>
      <c r="C41" s="241">
        <f>$C$4*(1+'Immobilie als Kapitalanlage'!$D$47)^A41</f>
        <v>0</v>
      </c>
      <c r="D41" s="244">
        <f t="shared" si="69"/>
        <v>359824.04138544668</v>
      </c>
      <c r="E41" s="138"/>
      <c r="F41" s="245">
        <f>MAX(-FV('Immobilie als Kapitalanlage'!$D$26/12,A41*12,(-I41/12),'Immobilie als Kapitalanlage'!$C$25,0),0)</f>
        <v>0</v>
      </c>
      <c r="G41" s="245">
        <f>IF(I41-H41&gt;G40,F40*'Immobilie als Kapitalanlage'!$D$26,I41-H41)</f>
        <v>0</v>
      </c>
      <c r="H41" s="241">
        <f t="shared" si="4"/>
        <v>0</v>
      </c>
      <c r="I41" s="241">
        <f>$F$4*('Immobilie als Kapitalanlage'!$D$26+'Immobilie als Kapitalanlage'!$D$36)</f>
        <v>12450</v>
      </c>
      <c r="J41" s="245">
        <f>MAX((-FV('Immobilie als Kapitalanlage'!$C$85/12,(A41-$A$14)*12,(-M41/12),$J$14,0)),0)</f>
        <v>6192.4530919606332</v>
      </c>
      <c r="K41" s="241">
        <f t="shared" si="98"/>
        <v>503.99596812552591</v>
      </c>
      <c r="L41" s="241">
        <f t="shared" si="99"/>
        <v>11757.401898317621</v>
      </c>
      <c r="M41" s="241">
        <f>$J$14*('Immobilie als Kapitalanlage'!$C$85+'Immobilie als Kapitalanlage'!$C$86)</f>
        <v>12261.397866443147</v>
      </c>
      <c r="N41" s="245">
        <f>MAX((-FV('Immobilie als Kapitalanlage'!$C$88/12,(A41-$A$19)*12,(-Q41/12),$N$19,0)),0)</f>
        <v>11720.556828949891</v>
      </c>
      <c r="O41" s="245">
        <f t="shared" si="115"/>
        <v>515.06129753534515</v>
      </c>
      <c r="P41" s="241">
        <f t="shared" si="116"/>
        <v>10012.297041923332</v>
      </c>
      <c r="Q41" s="241">
        <f>$N$19*('Immobilie als Kapitalanlage'!$C$88+'Immobilie als Kapitalanlage'!$C$89)</f>
        <v>10527.358339458677</v>
      </c>
      <c r="R41" s="250">
        <f t="shared" si="6"/>
        <v>-2971.7078823250367</v>
      </c>
      <c r="S41" s="250">
        <f>'Immobilie als Kapitalanlage'!$C$27*12*(1+'Immobilie als Kapitalanlage'!$D$44)^A40</f>
        <v>-499.36442174160425</v>
      </c>
      <c r="T41" s="250">
        <f>'Immobilie als Kapitalanlage'!$C$29*12*(1+'Immobilie als Kapitalanlage'!$D$44)^A40</f>
        <v>-1737.9840168457795</v>
      </c>
      <c r="U41" s="250">
        <f>'Immobilie als Kapitalanlage'!$C$30*12*(1+'Immobilie als Kapitalanlage'!$D$44)^A40</f>
        <v>-734.35944373765335</v>
      </c>
      <c r="V41" s="250">
        <f>'Immobilie als Kapitalanlage'!$C$28*12*(1+'Immobilie als Kapitalanlage'!$D$44)^A40</f>
        <v>-1248.4110543540107</v>
      </c>
      <c r="W41" s="241">
        <f>$W$5*(1+'Immobilie als Kapitalanlage'!$D$43)^A40</f>
        <v>20806.850905900177</v>
      </c>
      <c r="X41" s="241">
        <f>$X$5*(1+'Immobilie als Kapitalanlage'!$D$43)^A40</f>
        <v>23719.8100327262</v>
      </c>
      <c r="Y41" s="241">
        <f>-'Immobilie als Kapitalanlage'!$C$25*'Immobilie als Kapitalanlage'!$D$99</f>
        <v>0</v>
      </c>
      <c r="Z41" s="241">
        <f t="shared" si="7"/>
        <v>0</v>
      </c>
      <c r="AA41" s="241">
        <f>FV((((1+'Immobilie als Kapitalanlage'!$D$80)^(1/12)-1)),A41*12,Y41/12,-'Immobilie als Kapitalanlage'!$G$95,)</f>
        <v>0</v>
      </c>
      <c r="AB41" s="241">
        <f>$AB$5*(1+'Immobilie als Kapitalanlage'!$D$51)^A40</f>
        <v>163190.98749725628</v>
      </c>
      <c r="AC41" s="241">
        <f>IF(AND(AB41&gt;Steuern!$D$6,AB41&lt;Steuern!$D$10),INT((Steuern!$H$8*(AB41-Steuern!$D$6)/10000+Steuern!$I$8)*(AB41-Steuern!$D$6)/10000),IF(AND(AB41&gt;Steuern!$F$8,AB41&lt;Steuern!$D$12),INT((Steuern!$H$10*(AB41-Steuern!$F$8)/10000+Steuern!$I$10)*(AB41-Steuern!$F$8)/10000+Steuern!$J$10),IF(AND(AB41&gt;Steuern!$F$10,AB41&lt;Steuern!$D$14),INT(AB41*Steuern!$H$12-Steuern!$I$12),IF(AB41&gt;Steuern!$F$12,INT(AB41*Steuern!$H$14-Steuern!$I$14),0))))</f>
        <v>58567</v>
      </c>
      <c r="AD41" s="241">
        <f>IF(AND(AB41/2&gt;Steuern!$D$6,AB41/2&lt;Steuern!$D$10),INT((Steuern!$H$8*(AB41/2-Steuern!$D$8)/10000+Steuern!$I$8)*(AB41/2-Steuern!$D$6)/10000),IF(AND(AB41/2&gt;Steuern!$F$8,AB41/2&lt;Steuern!$D$12),INT((Steuern!$H$10*(AB41/2-Steuern!$F$8)/10000+Steuern!$I$10)*(AB41/2-Steuern!$F$8)/10000+Steuern!$J$10),IF(AND(AB41/2&gt;Steuern!$F$10,AB41/2&lt;Steuern!$D$14),INT(AB41/2*Steuern!$H$12-Steuern!$I$12),IF(AB41/2&gt;Steuern!$F$12,INT(AB41/2*Steuern!$H$14-Steuern!$I$14),0))))*2</f>
        <v>48594</v>
      </c>
      <c r="AE41" s="241">
        <f t="shared" si="8"/>
        <v>17835.14302357514</v>
      </c>
      <c r="AF41" s="241">
        <f t="shared" si="9"/>
        <v>17331.147055449615</v>
      </c>
      <c r="AG41" s="241">
        <f t="shared" si="10"/>
        <v>17320.081726039796</v>
      </c>
      <c r="AH41" s="241">
        <f t="shared" si="11"/>
        <v>20748.102150401162</v>
      </c>
      <c r="AI41" s="241">
        <f t="shared" si="12"/>
        <v>20244.106182275638</v>
      </c>
      <c r="AJ41" s="241">
        <f t="shared" si="13"/>
        <v>20233.040852865819</v>
      </c>
      <c r="AK41" s="248"/>
      <c r="AL41" s="241">
        <f>('Immobilie als Kapitalanlage'!$C$16+'Immobilie als Kapitalanlage'!$C$20+'Immobilie als Kapitalanlage'!$C$15)*(1-'Immobilie als Kapitalanlage'!$D$53)</f>
        <v>190858.5</v>
      </c>
      <c r="AM41" s="241">
        <f>AL41*'Immobilie als Kapitalanlage'!$D$52</f>
        <v>3817.17</v>
      </c>
      <c r="AN41" s="241">
        <f t="shared" si="14"/>
        <v>177208.9605208314</v>
      </c>
      <c r="AO41" s="241">
        <f>IF(AND(AN41&gt;Steuern!$D$6,AN41&lt;Steuern!$D$10),INT((Steuern!H36*(AN41-Steuern!$D$8)/10000+Steuern!$I$8)*(AN41-Steuern!$D$6)/10000),IF(AND(AN41&gt;Steuern!$F$8,AN41&lt;Steuern!$D$12),INT((Steuern!$H$10*(AN41-Steuern!$F$8)/10000+Steuern!$I$10)*(AN41-Steuern!$F$8)/10000+Steuern!$J$10),IF(AND(AN41&gt;Steuern!$F$10,AN41&lt;Steuern!$D$14),INT(AN41*Steuern!$H$12-Steuern!$I$12),IF(AN41&gt;Steuern!$F$12,INT(AN41*Steuern!$H$14-Steuern!$I$14),0))))</f>
        <v>64454</v>
      </c>
      <c r="AP41" s="241">
        <f>IF(AND(AN41/2&gt;Steuern!$D$6,AN41/2&lt;Steuern!$D$10),INT((Steuern!$H$8*(AN41/2-Steuern!$D$8)/10000+Steuern!$I$8)*(AN41/2-Steuern!$D$6)/10000),IF(AND(AN41/2&gt;Steuern!$F$8,AN41/2&lt;Steuern!$D$12),INT((Steuern!$H$10*(AN41/2-Steuern!$F$8)/10000+Steuern!$I$10)*(AN41/2-Steuern!$F$8)/10000+Steuern!$J$10),IF(AND(AN41/2&gt;Steuern!$F$10,AN41/2&lt;Steuern!$D$14),INT(AN41/2*Steuern!$H$12-Steuern!$I$12),IF(AN41/2&gt;Steuern!$F$12,INT(AN41/2*Steuern!$H$14-Steuern!$I$14),0))))*2</f>
        <v>54480</v>
      </c>
      <c r="AQ41" s="241">
        <f t="shared" si="15"/>
        <v>176704.96455270587</v>
      </c>
      <c r="AR41" s="241">
        <f>IF(AND(AQ41&gt;Steuern!$D$6,AQ41&lt;Steuern!$D$10),INT((Steuern!$H$8*(AQ41-Steuern!$D$6)/10000+Steuern!$I$8)*(AQ41-Steuern!$D$6)/10000),IF(AND(AQ41&gt;Steuern!$F$8,AQ41&lt;Steuern!$D$12),INT((Steuern!$H$10*(AQ41-Steuern!$F$8)/10000+Steuern!$I$10)*(AQ41-Steuern!$F$8)/10000+Steuern!$J$10),IF(AND(AQ41&gt;Steuern!$F$10,AQ41&lt;Steuern!$D$14),INT(AQ41*Steuern!$H$12-Steuern!$I$12),IF(AQ41&gt;Steuern!$F$12,INT(AQ41*Steuern!$H$14-Steuern!$I$14),0))))</f>
        <v>64243</v>
      </c>
      <c r="AS41" s="241">
        <f t="shared" si="16"/>
        <v>176693.89922329606</v>
      </c>
      <c r="AT41" s="241">
        <f>IF(AND(AS41&gt;Steuern!$D$6,AS41&lt;Steuern!$D$10),INT((Steuern!$H$8*(AS41-Steuern!$D$6)/10000+Steuern!$I$8)*(AS41-Steuern!$D$6)/10000),IF(AND(AS41&gt;Steuern!$F$8,AS41&lt;Steuern!$D$12),INT((Steuern!$H$10*(AS41-Steuern!$F$8)/10000+Steuern!$I$10)*(AS41-Steuern!$F$8)/10000+Steuern!$J$10),IF(AND(AS41&gt;Steuern!$F$10,AS41&lt;Steuern!$D$14),INT(AS41*Steuern!$H$12-Steuern!$I$12),IF(AS41&gt;Steuern!$F$12,INT(AS41*Steuern!$H$14-Steuern!$I$14),0))))</f>
        <v>64238</v>
      </c>
      <c r="AU41" s="241">
        <f t="shared" si="17"/>
        <v>180121.91964765743</v>
      </c>
      <c r="AV41" s="241">
        <f>IF(AND(AU41&gt;Steuern!$D$6,AU41&lt;Steuern!$D$10),INT((Steuern!$H$8*(AU41-Steuern!$D$6)/10000+Steuern!$I$8)*(AU41-Steuern!$D$6)/10000),IF(AND(AU41&gt;Steuern!$F$8,AU41&lt;Steuern!$D$12),INT((Steuern!$H$10*(AU41-Steuern!$F$8)/10000+Steuern!$I$10)*(AU41-Steuern!$F$8)/10000+Steuern!$J$10),IF(AND(AU41&gt;Steuern!$F$10,AU41&lt;Steuern!$D$14),INT(AU41*Steuern!$H$12-Steuern!$I$12),IF(AU41&gt;Steuern!$F$12,INT(AU41*Steuern!$H$14-Steuern!$I$14),0))))</f>
        <v>65678</v>
      </c>
      <c r="AW41" s="241">
        <f>IF(AND(AU41/2&gt;Steuern!$D$6,AU41/2&lt;Steuern!$D$10),INT((Steuern!$H$8*(AU41/2-Steuern!$D$8)/10000+Steuern!$I$8)*(AU41/2-Steuern!$D$6)/10000),IF(AND(AU41/2&gt;Steuern!$F$8,AU41/2&lt;Steuern!$D$12),INT((Steuern!$H$10*(AU41/2-Steuern!$F$8)/10000+Steuern!$I$10)*(AU41/2-Steuern!$F$8)/10000+Steuern!$J$10),IF(AND(AU41/2&gt;Steuern!$F$10,AU41/2&lt;Steuern!$D$14),INT(AU41/2*Steuern!$H$12-Steuern!$I$12),IF(AU41/2&gt;Steuern!$F$12,INT(AU41/2*Steuern!$H$14-Steuern!$I$14),0))))*2</f>
        <v>55704</v>
      </c>
      <c r="AX41" s="241">
        <f t="shared" si="18"/>
        <v>179617.9236795319</v>
      </c>
      <c r="AY41" s="241">
        <f>IF(AND(AX41&gt;Steuern!$D$6,AX41&lt;Steuern!$D$10),INT((Steuern!N36*(AX41-Steuern!$D$8)/10000+Steuern!$I$8)*(AX41-Steuern!$D$6)/10000),IF(AND(AX41&gt;Steuern!$F$8,AX41&lt;Steuern!$D$12),INT((Steuern!$H$10*(AX41-Steuern!$F$8)/10000+Steuern!$I$10)*(AX41-Steuern!$F$8)/10000+Steuern!$J$10),IF(AND(AX41&gt;Steuern!$F$10,AX41&lt;Steuern!$D$14),INT(AX41*Steuern!$H$12-Steuern!$I$12),IF(AX41&gt;Steuern!$F$12,INT(AX41*Steuern!$H$14-Steuern!$I$14),0))))</f>
        <v>65466</v>
      </c>
      <c r="AZ41" s="241">
        <f t="shared" si="19"/>
        <v>179606.85835012209</v>
      </c>
      <c r="BA41" s="241">
        <f>IF(AND(AZ41&gt;Steuern!$D$6,AZ41&lt;Steuern!$D$10),INT((Steuern!P36*(AZ41-Steuern!$D$8)/10000+Steuern!$I$8)*(AZ41-Steuern!$D$6)/10000),IF(AND(AZ41&gt;Steuern!$F$8,AZ41&lt;Steuern!$D$12),INT((Steuern!$H$10*(AZ41-Steuern!$F$8)/10000+Steuern!$I$10)*(AZ41-Steuern!$F$8)/10000+Steuern!$J$10),IF(AND(AZ41&gt;Steuern!$F$10,AZ41&lt;Steuern!$D$14),INT(AZ41*Steuern!$H$12-Steuern!$I$12),IF(AZ41&gt;Steuern!$F$12,INT(AZ41*Steuern!$H$14-Steuern!$I$14),0))))</f>
        <v>65461</v>
      </c>
      <c r="BB41" s="241">
        <f t="shared" ref="BB41:BC41" si="159">AC41-AO41</f>
        <v>-5887</v>
      </c>
      <c r="BC41" s="241">
        <f t="shared" si="159"/>
        <v>-5886</v>
      </c>
      <c r="BD41" s="241">
        <f t="shared" si="21"/>
        <v>-5676</v>
      </c>
      <c r="BE41" s="241">
        <f t="shared" si="22"/>
        <v>-5671</v>
      </c>
      <c r="BF41" s="241">
        <f t="shared" ref="BF41:BG41" si="160">AC41-AV41</f>
        <v>-7111</v>
      </c>
      <c r="BG41" s="241">
        <f t="shared" si="160"/>
        <v>-7110</v>
      </c>
      <c r="BH41" s="241">
        <f t="shared" si="24"/>
        <v>-6899</v>
      </c>
      <c r="BI41" s="241">
        <f t="shared" si="25"/>
        <v>-6894</v>
      </c>
      <c r="BJ41" s="241">
        <f t="shared" si="26"/>
        <v>10699.731969221131</v>
      </c>
      <c r="BK41" s="241">
        <f t="shared" si="27"/>
        <v>10700.731969221131</v>
      </c>
      <c r="BL41" s="241">
        <f t="shared" si="28"/>
        <v>-1350.6658972220175</v>
      </c>
      <c r="BM41" s="241">
        <f t="shared" si="29"/>
        <v>388.37362976245458</v>
      </c>
      <c r="BN41" s="241">
        <f t="shared" si="30"/>
        <v>10699.731969221131</v>
      </c>
      <c r="BO41" s="241">
        <f t="shared" si="31"/>
        <v>-76810.470182301549</v>
      </c>
      <c r="BP41" s="241">
        <f t="shared" si="32"/>
        <v>10700.731969221131</v>
      </c>
      <c r="BQ41" s="241">
        <f t="shared" si="33"/>
        <v>-78100.470182301549</v>
      </c>
      <c r="BR41" s="241">
        <f t="shared" si="34"/>
        <v>-1350.6658972220175</v>
      </c>
      <c r="BS41" s="241">
        <f t="shared" si="35"/>
        <v>-89595.411963687191</v>
      </c>
      <c r="BT41" s="241">
        <f t="shared" si="36"/>
        <v>388.37362976245458</v>
      </c>
      <c r="BU41" s="241">
        <f t="shared" si="37"/>
        <v>-65695.553037813093</v>
      </c>
      <c r="BV41" s="241">
        <f t="shared" si="38"/>
        <v>12388.69109604715</v>
      </c>
      <c r="BW41" s="241">
        <f t="shared" si="39"/>
        <v>12389.69109604715</v>
      </c>
      <c r="BX41" s="241">
        <f t="shared" si="40"/>
        <v>339.29322960400532</v>
      </c>
      <c r="BY41" s="241">
        <f t="shared" si="41"/>
        <v>2078.3327565884774</v>
      </c>
      <c r="BZ41" s="241">
        <f t="shared" si="42"/>
        <v>12388.69109604715</v>
      </c>
      <c r="CA41" s="241">
        <f t="shared" si="43"/>
        <v>-32061.554714174352</v>
      </c>
      <c r="CB41" s="241">
        <f t="shared" si="44"/>
        <v>12389.69109604715</v>
      </c>
      <c r="CC41" s="241">
        <f t="shared" si="45"/>
        <v>-31589.554714174352</v>
      </c>
      <c r="CD41" s="241">
        <f t="shared" si="46"/>
        <v>339.29322960400532</v>
      </c>
      <c r="CE41" s="241">
        <f t="shared" si="47"/>
        <v>-44841.496495559957</v>
      </c>
      <c r="CF41" s="241">
        <f t="shared" si="48"/>
        <v>2078.3327565884774</v>
      </c>
      <c r="CG41" s="241">
        <f t="shared" si="49"/>
        <v>-20941.637569685896</v>
      </c>
      <c r="CH41" s="248"/>
      <c r="CI41" s="249">
        <f t="shared" ca="1" si="64"/>
        <v>59050</v>
      </c>
      <c r="CJ41" s="241">
        <f t="shared" si="50"/>
        <v>10699.731969221131</v>
      </c>
      <c r="CK41" s="248"/>
      <c r="CL41" s="248"/>
      <c r="CM41" s="248"/>
      <c r="CN41" s="241">
        <f t="shared" si="54"/>
        <v>10699.731969221131</v>
      </c>
      <c r="CO41" s="248"/>
      <c r="CP41" s="248"/>
      <c r="CQ41" s="248"/>
      <c r="CR41" s="241"/>
      <c r="CS41" s="248"/>
      <c r="CT41" s="248"/>
      <c r="CU41" s="248"/>
      <c r="CV41" s="241"/>
      <c r="CW41" s="248"/>
      <c r="CX41" s="248"/>
      <c r="CY41" s="248"/>
      <c r="CZ41" s="241"/>
      <c r="DA41" s="241">
        <f t="shared" si="55"/>
        <v>12388.69109604715</v>
      </c>
      <c r="DB41" s="248"/>
      <c r="DC41" s="248"/>
      <c r="DD41" s="248"/>
      <c r="DE41" s="241">
        <f t="shared" si="59"/>
        <v>12388.69109604715</v>
      </c>
      <c r="DF41" s="248"/>
      <c r="DG41" s="248"/>
      <c r="DH41" s="248"/>
      <c r="DI41" s="241"/>
      <c r="DJ41" s="248"/>
      <c r="DK41" s="248"/>
      <c r="DL41" s="248"/>
      <c r="DM41" s="241"/>
      <c r="DN41" s="248"/>
      <c r="DO41" s="248"/>
      <c r="DP41" s="248"/>
      <c r="DQ41" s="241"/>
      <c r="DR41" s="241"/>
      <c r="DS41" s="241">
        <f t="shared" si="3"/>
        <v>12388.69109604715</v>
      </c>
    </row>
    <row r="42" spans="1:123" ht="15.75" customHeight="1">
      <c r="A42" s="243">
        <v>38</v>
      </c>
      <c r="B42" s="244">
        <f>B41*(1+'Immobilie als Kapitalanlage'!$D$47)</f>
        <v>363422.28179930116</v>
      </c>
      <c r="C42" s="241">
        <f>$C$4*(1+'Immobilie als Kapitalanlage'!$D$47)^A42</f>
        <v>0</v>
      </c>
      <c r="D42" s="244">
        <f t="shared" si="69"/>
        <v>363422.28179930116</v>
      </c>
      <c r="E42" s="138"/>
      <c r="F42" s="245">
        <f>MAX(-FV('Immobilie als Kapitalanlage'!$D$26/12,A42*12,(-I42/12),'Immobilie als Kapitalanlage'!$C$25,0),0)</f>
        <v>0</v>
      </c>
      <c r="G42" s="245">
        <f>IF(I42-H42&gt;G41,F41*'Immobilie als Kapitalanlage'!$D$26,I42-H42)</f>
        <v>0</v>
      </c>
      <c r="H42" s="241">
        <f t="shared" si="4"/>
        <v>0</v>
      </c>
      <c r="I42" s="241">
        <f>$F$4*('Immobilie als Kapitalanlage'!$D$26+'Immobilie als Kapitalanlage'!$D$36)</f>
        <v>12450</v>
      </c>
      <c r="J42" s="245">
        <f>MAX((-FV('Immobilie als Kapitalanlage'!$C$85/12,(A42-$A$14)*12,(-M42/12),$J$14,0)),0)</f>
        <v>0</v>
      </c>
      <c r="K42" s="241">
        <f t="shared" si="98"/>
        <v>6068.9447744825138</v>
      </c>
      <c r="L42" s="241">
        <f t="shared" si="99"/>
        <v>6192.4530919606332</v>
      </c>
      <c r="M42" s="241">
        <f>$J$14*('Immobilie als Kapitalanlage'!$C$85+'Immobilie als Kapitalanlage'!$C$86)</f>
        <v>12261.397866443147</v>
      </c>
      <c r="N42" s="245">
        <f>MAX((-FV('Immobilie als Kapitalanlage'!$C$88/12,(A42-$A$19)*12,(-Q42/12),$N$19,0)),0)</f>
        <v>1403.7261915942072</v>
      </c>
      <c r="O42" s="245">
        <f t="shared" si="115"/>
        <v>210.52770210299241</v>
      </c>
      <c r="P42" s="241">
        <f t="shared" si="116"/>
        <v>10316.830637355684</v>
      </c>
      <c r="Q42" s="241">
        <f>$N$19*('Immobilie als Kapitalanlage'!$C$88+'Immobilie als Kapitalanlage'!$C$89)</f>
        <v>10527.358339458677</v>
      </c>
      <c r="R42" s="250">
        <f t="shared" si="6"/>
        <v>-3031.142039971538</v>
      </c>
      <c r="S42" s="250">
        <f>'Immobilie als Kapitalanlage'!$C$27*12*(1+'Immobilie als Kapitalanlage'!$D$44)^A41</f>
        <v>-509.35171017643637</v>
      </c>
      <c r="T42" s="250">
        <f>'Immobilie als Kapitalanlage'!$C$29*12*(1+'Immobilie als Kapitalanlage'!$D$44)^A41</f>
        <v>-1772.7436971826953</v>
      </c>
      <c r="U42" s="250">
        <f>'Immobilie als Kapitalanlage'!$C$30*12*(1+'Immobilie als Kapitalanlage'!$D$44)^A41</f>
        <v>-749.04663261240648</v>
      </c>
      <c r="V42" s="250">
        <f>'Immobilie als Kapitalanlage'!$C$28*12*(1+'Immobilie als Kapitalanlage'!$D$44)^A41</f>
        <v>-1273.3792754410911</v>
      </c>
      <c r="W42" s="241">
        <f>$W$5*(1+'Immobilie als Kapitalanlage'!$D$43)^A41</f>
        <v>21222.987924018184</v>
      </c>
      <c r="X42" s="241">
        <f>$X$5*(1+'Immobilie als Kapitalanlage'!$D$43)^A41</f>
        <v>24194.206233380726</v>
      </c>
      <c r="Y42" s="241">
        <f>-'Immobilie als Kapitalanlage'!$C$25*'Immobilie als Kapitalanlage'!$D$99</f>
        <v>0</v>
      </c>
      <c r="Z42" s="241">
        <f t="shared" si="7"/>
        <v>0</v>
      </c>
      <c r="AA42" s="241">
        <f>FV((((1+'Immobilie als Kapitalanlage'!$D$80)^(1/12)-1)),A42*12,Y42/12,-'Immobilie als Kapitalanlage'!$G$95,)</f>
        <v>0</v>
      </c>
      <c r="AB42" s="241">
        <f>$AB$5*(1+'Immobilie als Kapitalanlage'!$D$51)^A41</f>
        <v>166454.80724720145</v>
      </c>
      <c r="AC42" s="241">
        <f>IF(AND(AB42&gt;Steuern!$D$6,AB42&lt;Steuern!$D$10),INT((Steuern!$H$8*(AB42-Steuern!$D$6)/10000+Steuern!$I$8)*(AB42-Steuern!$D$6)/10000),IF(AND(AB42&gt;Steuern!$F$8,AB42&lt;Steuern!$D$12),INT((Steuern!$H$10*(AB42-Steuern!$F$8)/10000+Steuern!$I$10)*(AB42-Steuern!$F$8)/10000+Steuern!$J$10),IF(AND(AB42&gt;Steuern!$F$10,AB42&lt;Steuern!$D$14),INT(AB42*Steuern!$H$12-Steuern!$I$12),IF(AB42&gt;Steuern!$F$12,INT(AB42*Steuern!$H$14-Steuern!$I$14),0))))</f>
        <v>59938</v>
      </c>
      <c r="AD42" s="241">
        <f>IF(AND(AB42/2&gt;Steuern!$D$6,AB42/2&lt;Steuern!$D$10),INT((Steuern!$H$8*(AB42/2-Steuern!$D$8)/10000+Steuern!$I$8)*(AB42/2-Steuern!$D$6)/10000),IF(AND(AB42/2&gt;Steuern!$F$8,AB42/2&lt;Steuern!$D$12),INT((Steuern!$H$10*(AB42/2-Steuern!$F$8)/10000+Steuern!$I$10)*(AB42/2-Steuern!$F$8)/10000+Steuern!$J$10),IF(AND(AB42/2&gt;Steuern!$F$10,AB42/2&lt;Steuern!$D$14),INT(AB42/2*Steuern!$H$12-Steuern!$I$12),IF(AB42/2&gt;Steuern!$F$12,INT(AB42/2*Steuern!$H$14-Steuern!$I$14),0))))*2</f>
        <v>49964</v>
      </c>
      <c r="AE42" s="241">
        <f t="shared" si="8"/>
        <v>18191.845884046645</v>
      </c>
      <c r="AF42" s="241">
        <f t="shared" si="9"/>
        <v>12122.901109564133</v>
      </c>
      <c r="AG42" s="241">
        <f t="shared" si="10"/>
        <v>17981.318181943654</v>
      </c>
      <c r="AH42" s="241">
        <f t="shared" si="11"/>
        <v>21163.064193409187</v>
      </c>
      <c r="AI42" s="241">
        <f t="shared" si="12"/>
        <v>15094.119418926675</v>
      </c>
      <c r="AJ42" s="241">
        <f t="shared" si="13"/>
        <v>20952.536491306197</v>
      </c>
      <c r="AK42" s="248"/>
      <c r="AL42" s="241">
        <f>('Immobilie als Kapitalanlage'!$C$16+'Immobilie als Kapitalanlage'!$C$20+'Immobilie als Kapitalanlage'!$C$15)*(1-'Immobilie als Kapitalanlage'!$D$53)</f>
        <v>190858.5</v>
      </c>
      <c r="AM42" s="241">
        <f>AL42*'Immobilie als Kapitalanlage'!$D$52</f>
        <v>3817.17</v>
      </c>
      <c r="AN42" s="241">
        <f t="shared" si="14"/>
        <v>180829.48313124807</v>
      </c>
      <c r="AO42" s="241">
        <f>IF(AND(AN42&gt;Steuern!$D$6,AN42&lt;Steuern!$D$10),INT((Steuern!H37*(AN42-Steuern!$D$8)/10000+Steuern!$I$8)*(AN42-Steuern!$D$6)/10000),IF(AND(AN42&gt;Steuern!$F$8,AN42&lt;Steuern!$D$12),INT((Steuern!$H$10*(AN42-Steuern!$F$8)/10000+Steuern!$I$10)*(AN42-Steuern!$F$8)/10000+Steuern!$J$10),IF(AND(AN42&gt;Steuern!$F$10,AN42&lt;Steuern!$D$14),INT(AN42*Steuern!$H$12-Steuern!$I$12),IF(AN42&gt;Steuern!$F$12,INT(AN42*Steuern!$H$14-Steuern!$I$14),0))))</f>
        <v>65975</v>
      </c>
      <c r="AP42" s="241">
        <f>IF(AND(AN42/2&gt;Steuern!$D$6,AN42/2&lt;Steuern!$D$10),INT((Steuern!$H$8*(AN42/2-Steuern!$D$8)/10000+Steuern!$I$8)*(AN42/2-Steuern!$D$6)/10000),IF(AND(AN42/2&gt;Steuern!$F$8,AN42/2&lt;Steuern!$D$12),INT((Steuern!$H$10*(AN42/2-Steuern!$F$8)/10000+Steuern!$I$10)*(AN42/2-Steuern!$F$8)/10000+Steuern!$J$10),IF(AND(AN42/2&gt;Steuern!$F$10,AN42/2&lt;Steuern!$D$14),INT(AN42/2*Steuern!$H$12-Steuern!$I$12),IF(AN42/2&gt;Steuern!$F$12,INT(AN42/2*Steuern!$H$14-Steuern!$I$14),0))))*2</f>
        <v>56002</v>
      </c>
      <c r="AQ42" s="241">
        <f t="shared" si="15"/>
        <v>174760.53835676555</v>
      </c>
      <c r="AR42" s="241">
        <f>IF(AND(AQ42&gt;Steuern!$D$6,AQ42&lt;Steuern!$D$10),INT((Steuern!$H$8*(AQ42-Steuern!$D$6)/10000+Steuern!$I$8)*(AQ42-Steuern!$D$6)/10000),IF(AND(AQ42&gt;Steuern!$F$8,AQ42&lt;Steuern!$D$12),INT((Steuern!$H$10*(AQ42-Steuern!$F$8)/10000+Steuern!$I$10)*(AQ42-Steuern!$F$8)/10000+Steuern!$J$10),IF(AND(AQ42&gt;Steuern!$F$10,AQ42&lt;Steuern!$D$14),INT(AQ42*Steuern!$H$12-Steuern!$I$12),IF(AQ42&gt;Steuern!$F$12,INT(AQ42*Steuern!$H$14-Steuern!$I$14),0))))</f>
        <v>63426</v>
      </c>
      <c r="AS42" s="241">
        <f t="shared" si="16"/>
        <v>180618.95542914508</v>
      </c>
      <c r="AT42" s="241">
        <f>IF(AND(AS42&gt;Steuern!$D$6,AS42&lt;Steuern!$D$10),INT((Steuern!$H$8*(AS42-Steuern!$D$6)/10000+Steuern!$I$8)*(AS42-Steuern!$D$6)/10000),IF(AND(AS42&gt;Steuern!$F$8,AS42&lt;Steuern!$D$12),INT((Steuern!$H$10*(AS42-Steuern!$F$8)/10000+Steuern!$I$10)*(AS42-Steuern!$F$8)/10000+Steuern!$J$10),IF(AND(AS42&gt;Steuern!$F$10,AS42&lt;Steuern!$D$14),INT(AS42*Steuern!$H$12-Steuern!$I$12),IF(AS42&gt;Steuern!$F$12,INT(AS42*Steuern!$H$14-Steuern!$I$14),0))))</f>
        <v>65886</v>
      </c>
      <c r="AU42" s="241">
        <f t="shared" si="17"/>
        <v>183800.70144061063</v>
      </c>
      <c r="AV42" s="241">
        <f>IF(AND(AU42&gt;Steuern!$D$6,AU42&lt;Steuern!$D$10),INT((Steuern!$H$8*(AU42-Steuern!$D$6)/10000+Steuern!$I$8)*(AU42-Steuern!$D$6)/10000),IF(AND(AU42&gt;Steuern!$F$8,AU42&lt;Steuern!$D$12),INT((Steuern!$H$10*(AU42-Steuern!$F$8)/10000+Steuern!$I$10)*(AU42-Steuern!$F$8)/10000+Steuern!$J$10),IF(AND(AU42&gt;Steuern!$F$10,AU42&lt;Steuern!$D$14),INT(AU42*Steuern!$H$12-Steuern!$I$12),IF(AU42&gt;Steuern!$F$12,INT(AU42*Steuern!$H$14-Steuern!$I$14),0))))</f>
        <v>67223</v>
      </c>
      <c r="AW42" s="241">
        <f>IF(AND(AU42/2&gt;Steuern!$D$6,AU42/2&lt;Steuern!$D$10),INT((Steuern!$H$8*(AU42/2-Steuern!$D$8)/10000+Steuern!$I$8)*(AU42/2-Steuern!$D$6)/10000),IF(AND(AU42/2&gt;Steuern!$F$8,AU42/2&lt;Steuern!$D$12),INT((Steuern!$H$10*(AU42/2-Steuern!$F$8)/10000+Steuern!$I$10)*(AU42/2-Steuern!$F$8)/10000+Steuern!$J$10),IF(AND(AU42/2&gt;Steuern!$F$10,AU42/2&lt;Steuern!$D$14),INT(AU42/2*Steuern!$H$12-Steuern!$I$12),IF(AU42/2&gt;Steuern!$F$12,INT(AU42/2*Steuern!$H$14-Steuern!$I$14),0))))*2</f>
        <v>57250</v>
      </c>
      <c r="AX42" s="241">
        <f t="shared" si="18"/>
        <v>177731.75666612812</v>
      </c>
      <c r="AY42" s="241">
        <f>IF(AND(AX42&gt;Steuern!$D$6,AX42&lt;Steuern!$D$10),INT((Steuern!N37*(AX42-Steuern!$D$8)/10000+Steuern!$I$8)*(AX42-Steuern!$D$6)/10000),IF(AND(AX42&gt;Steuern!$F$8,AX42&lt;Steuern!$D$12),INT((Steuern!$H$10*(AX42-Steuern!$F$8)/10000+Steuern!$I$10)*(AX42-Steuern!$F$8)/10000+Steuern!$J$10),IF(AND(AX42&gt;Steuern!$F$10,AX42&lt;Steuern!$D$14),INT(AX42*Steuern!$H$12-Steuern!$I$12),IF(AX42&gt;Steuern!$F$12,INT(AX42*Steuern!$H$14-Steuern!$I$14),0))))</f>
        <v>64674</v>
      </c>
      <c r="AZ42" s="241">
        <f t="shared" si="19"/>
        <v>183590.17373850764</v>
      </c>
      <c r="BA42" s="241">
        <f>IF(AND(AZ42&gt;Steuern!$D$6,AZ42&lt;Steuern!$D$10),INT((Steuern!P37*(AZ42-Steuern!$D$8)/10000+Steuern!$I$8)*(AZ42-Steuern!$D$6)/10000),IF(AND(AZ42&gt;Steuern!$F$8,AZ42&lt;Steuern!$D$12),INT((Steuern!$H$10*(AZ42-Steuern!$F$8)/10000+Steuern!$I$10)*(AZ42-Steuern!$F$8)/10000+Steuern!$J$10),IF(AND(AZ42&gt;Steuern!$F$10,AZ42&lt;Steuern!$D$14),INT(AZ42*Steuern!$H$12-Steuern!$I$12),IF(AZ42&gt;Steuern!$F$12,INT(AZ42*Steuern!$H$14-Steuern!$I$14),0))))</f>
        <v>67134</v>
      </c>
      <c r="BB42" s="241">
        <f t="shared" ref="BB42:BC42" si="161">AC42-AO42</f>
        <v>-6037</v>
      </c>
      <c r="BC42" s="241">
        <f t="shared" si="161"/>
        <v>-6038</v>
      </c>
      <c r="BD42" s="241">
        <f t="shared" si="21"/>
        <v>-3488</v>
      </c>
      <c r="BE42" s="241">
        <f t="shared" si="22"/>
        <v>-5948</v>
      </c>
      <c r="BF42" s="241">
        <f t="shared" ref="BF42:BG42" si="162">AC42-AV42</f>
        <v>-7285</v>
      </c>
      <c r="BG42" s="241">
        <f t="shared" si="162"/>
        <v>-7286</v>
      </c>
      <c r="BH42" s="241">
        <f t="shared" si="24"/>
        <v>-4736</v>
      </c>
      <c r="BI42" s="241">
        <f t="shared" si="25"/>
        <v>-7196</v>
      </c>
      <c r="BJ42" s="241">
        <f t="shared" si="26"/>
        <v>10881.466608605555</v>
      </c>
      <c r="BK42" s="241">
        <f t="shared" si="27"/>
        <v>10880.466608605555</v>
      </c>
      <c r="BL42" s="241">
        <f t="shared" si="28"/>
        <v>1169.0687421624098</v>
      </c>
      <c r="BM42" s="241">
        <f t="shared" si="29"/>
        <v>443.10826914687823</v>
      </c>
      <c r="BN42" s="241">
        <f t="shared" si="30"/>
        <v>10881.466608605555</v>
      </c>
      <c r="BO42" s="241">
        <f t="shared" si="31"/>
        <v>-65929.003573695998</v>
      </c>
      <c r="BP42" s="241">
        <f t="shared" si="32"/>
        <v>10880.466608605555</v>
      </c>
      <c r="BQ42" s="241">
        <f t="shared" si="33"/>
        <v>-67220.003573695998</v>
      </c>
      <c r="BR42" s="241">
        <f t="shared" si="34"/>
        <v>1169.0687421624098</v>
      </c>
      <c r="BS42" s="241">
        <f t="shared" si="35"/>
        <v>-88426.343221524789</v>
      </c>
      <c r="BT42" s="241">
        <f t="shared" si="36"/>
        <v>443.10826914687823</v>
      </c>
      <c r="BU42" s="241">
        <f t="shared" si="37"/>
        <v>-65252.444768666217</v>
      </c>
      <c r="BV42" s="241">
        <f t="shared" si="38"/>
        <v>12604.684917968098</v>
      </c>
      <c r="BW42" s="241">
        <f t="shared" si="39"/>
        <v>12603.684917968098</v>
      </c>
      <c r="BX42" s="241">
        <f t="shared" si="40"/>
        <v>2892.2870515249524</v>
      </c>
      <c r="BY42" s="241">
        <f t="shared" si="41"/>
        <v>2166.3265785094209</v>
      </c>
      <c r="BZ42" s="241">
        <f t="shared" si="42"/>
        <v>12604.684917968098</v>
      </c>
      <c r="CA42" s="241">
        <f t="shared" si="43"/>
        <v>-19456.869796206254</v>
      </c>
      <c r="CB42" s="241">
        <f t="shared" si="44"/>
        <v>12603.684917968098</v>
      </c>
      <c r="CC42" s="241">
        <f t="shared" si="45"/>
        <v>-18985.869796206254</v>
      </c>
      <c r="CD42" s="241">
        <f t="shared" si="46"/>
        <v>2892.2870515249524</v>
      </c>
      <c r="CE42" s="241">
        <f t="shared" si="47"/>
        <v>-41949.209444035005</v>
      </c>
      <c r="CF42" s="241">
        <f t="shared" si="48"/>
        <v>2166.3265785094209</v>
      </c>
      <c r="CG42" s="241">
        <f t="shared" si="49"/>
        <v>-18775.310991176477</v>
      </c>
      <c r="CH42" s="248"/>
      <c r="CI42" s="249">
        <f t="shared" ca="1" si="64"/>
        <v>59415</v>
      </c>
      <c r="CJ42" s="241">
        <f t="shared" si="50"/>
        <v>10881.466608605555</v>
      </c>
      <c r="CK42" s="248"/>
      <c r="CL42" s="248"/>
      <c r="CM42" s="248"/>
      <c r="CN42" s="241">
        <f t="shared" si="54"/>
        <v>10881.466608605555</v>
      </c>
      <c r="CO42" s="248"/>
      <c r="CP42" s="248"/>
      <c r="CQ42" s="248"/>
      <c r="CR42" s="241"/>
      <c r="CS42" s="248"/>
      <c r="CT42" s="248"/>
      <c r="CU42" s="248"/>
      <c r="CV42" s="241"/>
      <c r="CW42" s="248"/>
      <c r="CX42" s="248"/>
      <c r="CY42" s="248"/>
      <c r="CZ42" s="241"/>
      <c r="DA42" s="241">
        <f t="shared" si="55"/>
        <v>12604.684917968098</v>
      </c>
      <c r="DB42" s="248"/>
      <c r="DC42" s="248"/>
      <c r="DD42" s="248"/>
      <c r="DE42" s="241">
        <f t="shared" si="59"/>
        <v>12604.684917968098</v>
      </c>
      <c r="DF42" s="248"/>
      <c r="DG42" s="248"/>
      <c r="DH42" s="248"/>
      <c r="DI42" s="241"/>
      <c r="DJ42" s="248"/>
      <c r="DK42" s="248"/>
      <c r="DL42" s="248"/>
      <c r="DM42" s="241"/>
      <c r="DN42" s="248"/>
      <c r="DO42" s="248"/>
      <c r="DP42" s="248"/>
      <c r="DQ42" s="241"/>
      <c r="DR42" s="241"/>
      <c r="DS42" s="241">
        <f t="shared" si="3"/>
        <v>12604.684917968098</v>
      </c>
    </row>
    <row r="43" spans="1:123" ht="15.75" customHeight="1">
      <c r="A43" s="243">
        <v>39</v>
      </c>
      <c r="B43" s="244">
        <f>B42*(1+'Immobilie als Kapitalanlage'!$D$47)</f>
        <v>367056.50461729418</v>
      </c>
      <c r="C43" s="241">
        <f>$C$4*(1+'Immobilie als Kapitalanlage'!$D$47)^A43</f>
        <v>0</v>
      </c>
      <c r="D43" s="244">
        <f t="shared" si="69"/>
        <v>367056.50461729418</v>
      </c>
      <c r="E43" s="138"/>
      <c r="F43" s="245">
        <f>MAX(-FV('Immobilie als Kapitalanlage'!$D$26/12,A43*12,(-I43/12),'Immobilie als Kapitalanlage'!$C$25,0),0)</f>
        <v>0</v>
      </c>
      <c r="G43" s="245">
        <f>IF(I43-H43&gt;G42,F42*'Immobilie als Kapitalanlage'!$D$26,I43-H43)</f>
        <v>0</v>
      </c>
      <c r="H43" s="241">
        <f t="shared" si="4"/>
        <v>0</v>
      </c>
      <c r="I43" s="241">
        <f>$F$4*('Immobilie als Kapitalanlage'!$D$26+'Immobilie als Kapitalanlage'!$D$36)</f>
        <v>12450</v>
      </c>
      <c r="J43" s="245">
        <f>MAX((-FV('Immobilie als Kapitalanlage'!$C$85/12,(A43-$A$14)*12,(-M43/12),$J$14,0)),0)</f>
        <v>0</v>
      </c>
      <c r="K43" s="241">
        <f t="shared" si="98"/>
        <v>12261.397866443147</v>
      </c>
      <c r="L43" s="241">
        <f t="shared" si="99"/>
        <v>0</v>
      </c>
      <c r="M43" s="241">
        <f>$J$14*('Immobilie als Kapitalanlage'!$C$85+'Immobilie als Kapitalanlage'!$C$86)</f>
        <v>12261.397866443147</v>
      </c>
      <c r="N43" s="245">
        <f>MAX((-FV('Immobilie als Kapitalanlage'!$C$88/12,(A43-$A$19)*12,(-Q43/12),$N$19,0)),0)</f>
        <v>0</v>
      </c>
      <c r="O43" s="245">
        <f t="shared" si="115"/>
        <v>9123.6321478644695</v>
      </c>
      <c r="P43" s="241">
        <f t="shared" si="116"/>
        <v>1403.7261915942072</v>
      </c>
      <c r="Q43" s="241">
        <f>$N$19*('Immobilie als Kapitalanlage'!$C$88+'Immobilie als Kapitalanlage'!$C$89)</f>
        <v>10527.358339458677</v>
      </c>
      <c r="R43" s="250">
        <f t="shared" si="6"/>
        <v>-3091.7648807709693</v>
      </c>
      <c r="S43" s="250">
        <f>'Immobilie als Kapitalanlage'!$C$27*12*(1+'Immobilie als Kapitalanlage'!$D$44)^A42</f>
        <v>-519.53874437996512</v>
      </c>
      <c r="T43" s="250">
        <f>'Immobilie als Kapitalanlage'!$C$29*12*(1+'Immobilie als Kapitalanlage'!$D$44)^A42</f>
        <v>-1808.1985711263494</v>
      </c>
      <c r="U43" s="250">
        <f>'Immobilie als Kapitalanlage'!$C$30*12*(1+'Immobilie als Kapitalanlage'!$D$44)^A42</f>
        <v>-764.02756526465475</v>
      </c>
      <c r="V43" s="250">
        <f>'Immobilie als Kapitalanlage'!$C$28*12*(1+'Immobilie als Kapitalanlage'!$D$44)^A42</f>
        <v>-1298.846860949913</v>
      </c>
      <c r="W43" s="241">
        <f>$W$5*(1+'Immobilie als Kapitalanlage'!$D$43)^A42</f>
        <v>21647.44768249855</v>
      </c>
      <c r="X43" s="241">
        <f>$X$5*(1+'Immobilie als Kapitalanlage'!$D$43)^A42</f>
        <v>24678.090358048343</v>
      </c>
      <c r="Y43" s="241">
        <f>-'Immobilie als Kapitalanlage'!$C$25*'Immobilie als Kapitalanlage'!$D$99</f>
        <v>0</v>
      </c>
      <c r="Z43" s="241">
        <f t="shared" si="7"/>
        <v>0</v>
      </c>
      <c r="AA43" s="241">
        <f>FV((((1+'Immobilie als Kapitalanlage'!$D$80)^(1/12)-1)),A43*12,Y43/12,-'Immobilie als Kapitalanlage'!$G$95,)</f>
        <v>0</v>
      </c>
      <c r="AB43" s="241">
        <f>$AB$5*(1+'Immobilie als Kapitalanlage'!$D$51)^A42</f>
        <v>169783.9033921455</v>
      </c>
      <c r="AC43" s="241">
        <f>IF(AND(AB43&gt;Steuern!$D$6,AB43&lt;Steuern!$D$10),INT((Steuern!$H$8*(AB43-Steuern!$D$6)/10000+Steuern!$I$8)*(AB43-Steuern!$D$6)/10000),IF(AND(AB43&gt;Steuern!$F$8,AB43&lt;Steuern!$D$12),INT((Steuern!$H$10*(AB43-Steuern!$F$8)/10000+Steuern!$I$10)*(AB43-Steuern!$F$8)/10000+Steuern!$J$10),IF(AND(AB43&gt;Steuern!$F$10,AB43&lt;Steuern!$D$14),INT(AB43*Steuern!$H$12-Steuern!$I$12),IF(AB43&gt;Steuern!$F$12,INT(AB43*Steuern!$H$14-Steuern!$I$14),0))))</f>
        <v>61336</v>
      </c>
      <c r="AD43" s="241">
        <f>IF(AND(AB43/2&gt;Steuern!$D$6,AB43/2&lt;Steuern!$D$10),INT((Steuern!$H$8*(AB43/2-Steuern!$D$8)/10000+Steuern!$I$8)*(AB43/2-Steuern!$D$6)/10000),IF(AND(AB43/2&gt;Steuern!$F$8,AB43/2&lt;Steuern!$D$12),INT((Steuern!$H$10*(AB43/2-Steuern!$F$8)/10000+Steuern!$I$10)*(AB43/2-Steuern!$F$8)/10000+Steuern!$J$10),IF(AND(AB43/2&gt;Steuern!$F$10,AB43/2&lt;Steuern!$D$14),INT(AB43/2*Steuern!$H$12-Steuern!$I$12),IF(AB43/2&gt;Steuern!$F$12,INT(AB43/2*Steuern!$H$14-Steuern!$I$14),0))))*2</f>
        <v>51362</v>
      </c>
      <c r="AE43" s="241">
        <f t="shared" si="8"/>
        <v>18555.68280172758</v>
      </c>
      <c r="AF43" s="241">
        <f t="shared" si="9"/>
        <v>6294.2849352844351</v>
      </c>
      <c r="AG43" s="241">
        <f t="shared" si="10"/>
        <v>9432.0506538631125</v>
      </c>
      <c r="AH43" s="241">
        <f t="shared" si="11"/>
        <v>21586.325477277373</v>
      </c>
      <c r="AI43" s="241">
        <f t="shared" si="12"/>
        <v>9324.9276108342274</v>
      </c>
      <c r="AJ43" s="241">
        <f t="shared" si="13"/>
        <v>12462.693329412905</v>
      </c>
      <c r="AK43" s="248"/>
      <c r="AL43" s="241">
        <f>('Immobilie als Kapitalanlage'!$C$16+'Immobilie als Kapitalanlage'!$C$20+'Immobilie als Kapitalanlage'!$C$15)*(1-'Immobilie als Kapitalanlage'!$D$53)</f>
        <v>190858.5</v>
      </c>
      <c r="AM43" s="241">
        <f>AL43*'Immobilie als Kapitalanlage'!$D$52</f>
        <v>3817.17</v>
      </c>
      <c r="AN43" s="241">
        <f t="shared" si="14"/>
        <v>184522.41619387307</v>
      </c>
      <c r="AO43" s="241">
        <f>IF(AND(AN43&gt;Steuern!$D$6,AN43&lt;Steuern!$D$10),INT((Steuern!H38*(AN43-Steuern!$D$8)/10000+Steuern!$I$8)*(AN43-Steuern!$D$6)/10000),IF(AND(AN43&gt;Steuern!$F$8,AN43&lt;Steuern!$D$12),INT((Steuern!$H$10*(AN43-Steuern!$F$8)/10000+Steuern!$I$10)*(AN43-Steuern!$F$8)/10000+Steuern!$J$10),IF(AND(AN43&gt;Steuern!$F$10,AN43&lt;Steuern!$D$14),INT(AN43*Steuern!$H$12-Steuern!$I$12),IF(AN43&gt;Steuern!$F$12,INT(AN43*Steuern!$H$14-Steuern!$I$14),0))))</f>
        <v>67526</v>
      </c>
      <c r="AP43" s="241">
        <f>IF(AND(AN43/2&gt;Steuern!$D$6,AN43/2&lt;Steuern!$D$10),INT((Steuern!$H$8*(AN43/2-Steuern!$D$8)/10000+Steuern!$I$8)*(AN43/2-Steuern!$D$6)/10000),IF(AND(AN43/2&gt;Steuern!$F$8,AN43/2&lt;Steuern!$D$12),INT((Steuern!$H$10*(AN43/2-Steuern!$F$8)/10000+Steuern!$I$10)*(AN43/2-Steuern!$F$8)/10000+Steuern!$J$10),IF(AND(AN43/2&gt;Steuern!$F$10,AN43/2&lt;Steuern!$D$14),INT(AN43/2*Steuern!$H$12-Steuern!$I$12),IF(AN43/2&gt;Steuern!$F$12,INT(AN43/2*Steuern!$H$14-Steuern!$I$14),0))))*2</f>
        <v>57552</v>
      </c>
      <c r="AQ43" s="241">
        <f t="shared" si="15"/>
        <v>172261.01832742992</v>
      </c>
      <c r="AR43" s="241">
        <f>IF(AND(AQ43&gt;Steuern!$D$6,AQ43&lt;Steuern!$D$10),INT((Steuern!$H$8*(AQ43-Steuern!$D$6)/10000+Steuern!$I$8)*(AQ43-Steuern!$D$6)/10000),IF(AND(AQ43&gt;Steuern!$F$8,AQ43&lt;Steuern!$D$12),INT((Steuern!$H$10*(AQ43-Steuern!$F$8)/10000+Steuern!$I$10)*(AQ43-Steuern!$F$8)/10000+Steuern!$J$10),IF(AND(AQ43&gt;Steuern!$F$10,AQ43&lt;Steuern!$D$14),INT(AQ43*Steuern!$H$12-Steuern!$I$12),IF(AQ43&gt;Steuern!$F$12,INT(AQ43*Steuern!$H$14-Steuern!$I$14),0))))</f>
        <v>62376</v>
      </c>
      <c r="AS43" s="241">
        <f t="shared" si="16"/>
        <v>175398.7840460086</v>
      </c>
      <c r="AT43" s="241">
        <f>IF(AND(AS43&gt;Steuern!$D$6,AS43&lt;Steuern!$D$10),INT((Steuern!$H$8*(AS43-Steuern!$D$6)/10000+Steuern!$I$8)*(AS43-Steuern!$D$6)/10000),IF(AND(AS43&gt;Steuern!$F$8,AS43&lt;Steuern!$D$12),INT((Steuern!$H$10*(AS43-Steuern!$F$8)/10000+Steuern!$I$10)*(AS43-Steuern!$F$8)/10000+Steuern!$J$10),IF(AND(AS43&gt;Steuern!$F$10,AS43&lt;Steuern!$D$14),INT(AS43*Steuern!$H$12-Steuern!$I$12),IF(AS43&gt;Steuern!$F$12,INT(AS43*Steuern!$H$14-Steuern!$I$14),0))))</f>
        <v>63694</v>
      </c>
      <c r="AU43" s="241">
        <f t="shared" si="17"/>
        <v>187553.05886942285</v>
      </c>
      <c r="AV43" s="241">
        <f>IF(AND(AU43&gt;Steuern!$D$6,AU43&lt;Steuern!$D$10),INT((Steuern!$H$8*(AU43-Steuern!$D$6)/10000+Steuern!$I$8)*(AU43-Steuern!$D$6)/10000),IF(AND(AU43&gt;Steuern!$F$8,AU43&lt;Steuern!$D$12),INT((Steuern!$H$10*(AU43-Steuern!$F$8)/10000+Steuern!$I$10)*(AU43-Steuern!$F$8)/10000+Steuern!$J$10),IF(AND(AU43&gt;Steuern!$F$10,AU43&lt;Steuern!$D$14),INT(AU43*Steuern!$H$12-Steuern!$I$12),IF(AU43&gt;Steuern!$F$12,INT(AU43*Steuern!$H$14-Steuern!$I$14),0))))</f>
        <v>68799</v>
      </c>
      <c r="AW43" s="241">
        <f>IF(AND(AU43/2&gt;Steuern!$D$6,AU43/2&lt;Steuern!$D$10),INT((Steuern!$H$8*(AU43/2-Steuern!$D$8)/10000+Steuern!$I$8)*(AU43/2-Steuern!$D$6)/10000),IF(AND(AU43/2&gt;Steuern!$F$8,AU43/2&lt;Steuern!$D$12),INT((Steuern!$H$10*(AU43/2-Steuern!$F$8)/10000+Steuern!$I$10)*(AU43/2-Steuern!$F$8)/10000+Steuern!$J$10),IF(AND(AU43/2&gt;Steuern!$F$10,AU43/2&lt;Steuern!$D$14),INT(AU43/2*Steuern!$H$12-Steuern!$I$12),IF(AU43/2&gt;Steuern!$F$12,INT(AU43/2*Steuern!$H$14-Steuern!$I$14),0))))*2</f>
        <v>58826</v>
      </c>
      <c r="AX43" s="241">
        <f t="shared" si="18"/>
        <v>175291.6610029797</v>
      </c>
      <c r="AY43" s="241">
        <f>IF(AND(AX43&gt;Steuern!$D$6,AX43&lt;Steuern!$D$10),INT((Steuern!N38*(AX43-Steuern!$D$8)/10000+Steuern!$I$8)*(AX43-Steuern!$D$6)/10000),IF(AND(AX43&gt;Steuern!$F$8,AX43&lt;Steuern!$D$12),INT((Steuern!$H$10*(AX43-Steuern!$F$8)/10000+Steuern!$I$10)*(AX43-Steuern!$F$8)/10000+Steuern!$J$10),IF(AND(AX43&gt;Steuern!$F$10,AX43&lt;Steuern!$D$14),INT(AX43*Steuern!$H$12-Steuern!$I$12),IF(AX43&gt;Steuern!$F$12,INT(AX43*Steuern!$H$14-Steuern!$I$14),0))))</f>
        <v>63649</v>
      </c>
      <c r="AZ43" s="241">
        <f t="shared" si="19"/>
        <v>178429.42672155838</v>
      </c>
      <c r="BA43" s="241">
        <f>IF(AND(AZ43&gt;Steuern!$D$6,AZ43&lt;Steuern!$D$10),INT((Steuern!P38*(AZ43-Steuern!$D$8)/10000+Steuern!$I$8)*(AZ43-Steuern!$D$6)/10000),IF(AND(AZ43&gt;Steuern!$F$8,AZ43&lt;Steuern!$D$12),INT((Steuern!$H$10*(AZ43-Steuern!$F$8)/10000+Steuern!$I$10)*(AZ43-Steuern!$F$8)/10000+Steuern!$J$10),IF(AND(AZ43&gt;Steuern!$F$10,AZ43&lt;Steuern!$D$14),INT(AZ43*Steuern!$H$12-Steuern!$I$12),IF(AZ43&gt;Steuern!$F$12,INT(AZ43*Steuern!$H$14-Steuern!$I$14),0))))</f>
        <v>64967</v>
      </c>
      <c r="BB43" s="241">
        <f t="shared" ref="BB43:BC43" si="163">AC43-AO43</f>
        <v>-6190</v>
      </c>
      <c r="BC43" s="241">
        <f t="shared" si="163"/>
        <v>-6190</v>
      </c>
      <c r="BD43" s="241">
        <f t="shared" si="21"/>
        <v>-1040</v>
      </c>
      <c r="BE43" s="241">
        <f t="shared" si="22"/>
        <v>-2358</v>
      </c>
      <c r="BF43" s="241">
        <f t="shared" ref="BF43:BG43" si="164">AC43-AV43</f>
        <v>-7463</v>
      </c>
      <c r="BG43" s="241">
        <f t="shared" si="164"/>
        <v>-7464</v>
      </c>
      <c r="BH43" s="241">
        <f t="shared" si="24"/>
        <v>-2313</v>
      </c>
      <c r="BI43" s="241">
        <f t="shared" si="25"/>
        <v>-3631</v>
      </c>
      <c r="BJ43" s="241">
        <f t="shared" si="26"/>
        <v>11066.835940777666</v>
      </c>
      <c r="BK43" s="241">
        <f t="shared" si="27"/>
        <v>11066.835940777666</v>
      </c>
      <c r="BL43" s="241">
        <f t="shared" si="28"/>
        <v>3955.4380743345209</v>
      </c>
      <c r="BM43" s="241">
        <f t="shared" si="29"/>
        <v>4371.477601318993</v>
      </c>
      <c r="BN43" s="241">
        <f t="shared" si="30"/>
        <v>11066.835940777666</v>
      </c>
      <c r="BO43" s="241">
        <f t="shared" si="31"/>
        <v>-54862.167632918332</v>
      </c>
      <c r="BP43" s="241">
        <f t="shared" si="32"/>
        <v>11066.835940777666</v>
      </c>
      <c r="BQ43" s="241">
        <f t="shared" si="33"/>
        <v>-56153.167632918332</v>
      </c>
      <c r="BR43" s="241">
        <f t="shared" si="34"/>
        <v>3955.4380743345209</v>
      </c>
      <c r="BS43" s="241">
        <f t="shared" si="35"/>
        <v>-84470.905147190264</v>
      </c>
      <c r="BT43" s="241">
        <f t="shared" si="36"/>
        <v>4371.477601318993</v>
      </c>
      <c r="BU43" s="241">
        <f t="shared" si="37"/>
        <v>-60880.967167347226</v>
      </c>
      <c r="BV43" s="241">
        <f t="shared" si="38"/>
        <v>12824.478616327462</v>
      </c>
      <c r="BW43" s="241">
        <f t="shared" si="39"/>
        <v>12823.478616327462</v>
      </c>
      <c r="BX43" s="241">
        <f t="shared" si="40"/>
        <v>5713.0807498843133</v>
      </c>
      <c r="BY43" s="241">
        <f t="shared" si="41"/>
        <v>6129.1202768687854</v>
      </c>
      <c r="BZ43" s="241">
        <f t="shared" si="42"/>
        <v>12824.478616327462</v>
      </c>
      <c r="CA43" s="241">
        <f t="shared" si="43"/>
        <v>-6632.3911798787922</v>
      </c>
      <c r="CB43" s="241">
        <f t="shared" si="44"/>
        <v>12823.478616327462</v>
      </c>
      <c r="CC43" s="241">
        <f t="shared" si="45"/>
        <v>-6162.3911798787922</v>
      </c>
      <c r="CD43" s="241">
        <f t="shared" si="46"/>
        <v>5713.0807498843133</v>
      </c>
      <c r="CE43" s="241">
        <f t="shared" si="47"/>
        <v>-36236.128694150691</v>
      </c>
      <c r="CF43" s="241">
        <f t="shared" si="48"/>
        <v>6129.1202768687854</v>
      </c>
      <c r="CG43" s="241">
        <f t="shared" si="49"/>
        <v>-12646.190714307691</v>
      </c>
      <c r="CH43" s="248"/>
      <c r="CI43" s="249">
        <f t="shared" ca="1" si="64"/>
        <v>59780</v>
      </c>
      <c r="CJ43" s="241">
        <f t="shared" si="50"/>
        <v>11066.835940777666</v>
      </c>
      <c r="CK43" s="248"/>
      <c r="CL43" s="248"/>
      <c r="CM43" s="248"/>
      <c r="CN43" s="241">
        <f t="shared" si="54"/>
        <v>11066.835940777666</v>
      </c>
      <c r="CO43" s="248"/>
      <c r="CP43" s="248"/>
      <c r="CQ43" s="248"/>
      <c r="CR43" s="241"/>
      <c r="CS43" s="248"/>
      <c r="CT43" s="248"/>
      <c r="CU43" s="248"/>
      <c r="CV43" s="241"/>
      <c r="CW43" s="248"/>
      <c r="CX43" s="248"/>
      <c r="CY43" s="248"/>
      <c r="CZ43" s="241"/>
      <c r="DA43" s="241">
        <f t="shared" si="55"/>
        <v>12824.478616327462</v>
      </c>
      <c r="DB43" s="248"/>
      <c r="DC43" s="248"/>
      <c r="DD43" s="248"/>
      <c r="DE43" s="241">
        <f t="shared" si="59"/>
        <v>12824.478616327462</v>
      </c>
      <c r="DF43" s="248"/>
      <c r="DG43" s="248"/>
      <c r="DH43" s="248"/>
      <c r="DI43" s="241"/>
      <c r="DJ43" s="248"/>
      <c r="DK43" s="248"/>
      <c r="DL43" s="248"/>
      <c r="DM43" s="241"/>
      <c r="DN43" s="248"/>
      <c r="DO43" s="248"/>
      <c r="DP43" s="248"/>
      <c r="DQ43" s="241"/>
      <c r="DR43" s="241"/>
      <c r="DS43" s="241">
        <f t="shared" si="3"/>
        <v>12824.478616327462</v>
      </c>
    </row>
    <row r="44" spans="1:123" ht="15.75" customHeight="1">
      <c r="A44" s="233">
        <v>40</v>
      </c>
      <c r="B44" s="234">
        <f>B43*(1+'Immobilie als Kapitalanlage'!$D$47)</f>
        <v>370727.06966346712</v>
      </c>
      <c r="C44" s="235">
        <f>$C$4*(1+'Immobilie als Kapitalanlage'!$D$47)^A44</f>
        <v>0</v>
      </c>
      <c r="D44" s="234">
        <f t="shared" si="69"/>
        <v>370727.06966346712</v>
      </c>
      <c r="E44" s="251"/>
      <c r="F44" s="252">
        <f>MAX(-FV('Immobilie als Kapitalanlage'!$D$26/12,A44*12,(-I44/12),'Immobilie als Kapitalanlage'!$C$25,0),0)</f>
        <v>0</v>
      </c>
      <c r="G44" s="252">
        <f>IF(I44-H44&gt;G43,F43*'Immobilie als Kapitalanlage'!$D$26,I44-H44)</f>
        <v>0</v>
      </c>
      <c r="H44" s="235">
        <f t="shared" si="4"/>
        <v>0</v>
      </c>
      <c r="I44" s="235">
        <f>$F$4*('Immobilie als Kapitalanlage'!$D$26+'Immobilie als Kapitalanlage'!$D$36)</f>
        <v>12450</v>
      </c>
      <c r="J44" s="252">
        <f>MAX((-FV('Immobilie als Kapitalanlage'!$C$85/12,(A44-$A$14)*12,(-M44/12),$J$14,0)),0)</f>
        <v>0</v>
      </c>
      <c r="K44" s="235">
        <f t="shared" si="98"/>
        <v>12261.397866443147</v>
      </c>
      <c r="L44" s="235">
        <f t="shared" si="99"/>
        <v>0</v>
      </c>
      <c r="M44" s="235">
        <f>$J$14*('Immobilie als Kapitalanlage'!$C$85+'Immobilie als Kapitalanlage'!$C$86)</f>
        <v>12261.397866443147</v>
      </c>
      <c r="N44" s="252">
        <f>MAX((-FV('Immobilie als Kapitalanlage'!$C$88/12,(A44-$A$19)*12,(-Q44/12),$N$19,0)),0)</f>
        <v>0</v>
      </c>
      <c r="O44" s="252">
        <f t="shared" si="115"/>
        <v>10527.358339458677</v>
      </c>
      <c r="P44" s="235">
        <f t="shared" si="116"/>
        <v>0</v>
      </c>
      <c r="Q44" s="235">
        <f>$N$19*('Immobilie als Kapitalanlage'!$C$88+'Immobilie als Kapitalanlage'!$C$89)</f>
        <v>10527.358339458677</v>
      </c>
      <c r="R44" s="237">
        <f t="shared" si="6"/>
        <v>-3153.6001783863876</v>
      </c>
      <c r="S44" s="237">
        <f>'Immobilie als Kapitalanlage'!$C$27*12*(1+'Immobilie als Kapitalanlage'!$D$44)^A43</f>
        <v>-529.92951926756427</v>
      </c>
      <c r="T44" s="237">
        <f>'Immobilie als Kapitalanlage'!$C$29*12*(1+'Immobilie als Kapitalanlage'!$D$44)^A43</f>
        <v>-1844.3625425488758</v>
      </c>
      <c r="U44" s="237">
        <f>'Immobilie als Kapitalanlage'!$C$30*12*(1+'Immobilie als Kapitalanlage'!$D$44)^A43</f>
        <v>-779.30811656994752</v>
      </c>
      <c r="V44" s="237">
        <f>'Immobilie als Kapitalanlage'!$C$28*12*(1+'Immobilie als Kapitalanlage'!$D$44)^A43</f>
        <v>-1324.8237981689108</v>
      </c>
      <c r="W44" s="235">
        <f>$W$5*(1+'Immobilie als Kapitalanlage'!$D$43)^A43</f>
        <v>22080.396636148511</v>
      </c>
      <c r="X44" s="235">
        <f>$X$5*(1+'Immobilie als Kapitalanlage'!$D$43)^A43</f>
        <v>25171.6521652093</v>
      </c>
      <c r="Y44" s="235">
        <f>-'Immobilie als Kapitalanlage'!$C$25*'Immobilie als Kapitalanlage'!$D$99</f>
        <v>0</v>
      </c>
      <c r="Z44" s="235">
        <f t="shared" si="7"/>
        <v>0</v>
      </c>
      <c r="AA44" s="235">
        <f>FV((((1+'Immobilie als Kapitalanlage'!$D$80)^(1/12)-1)),A44*12,Y44/12,-'Immobilie als Kapitalanlage'!$G$95,)</f>
        <v>0</v>
      </c>
      <c r="AB44" s="235">
        <f>$AB$5*(1+'Immobilie als Kapitalanlage'!$D$51)^A43</f>
        <v>173179.58145998835</v>
      </c>
      <c r="AC44" s="235">
        <f>IF(AND(AB44&gt;Steuern!$D$6,AB44&lt;Steuern!$D$10),INT((Steuern!$H$8*(AB44-Steuern!$D$6)/10000+Steuern!$I$8)*(AB44-Steuern!$D$6)/10000),IF(AND(AB44&gt;Steuern!$F$8,AB44&lt;Steuern!$D$12),INT((Steuern!$H$10*(AB44-Steuern!$F$8)/10000+Steuern!$I$10)*(AB44-Steuern!$F$8)/10000+Steuern!$J$10),IF(AND(AB44&gt;Steuern!$F$10,AB44&lt;Steuern!$D$14),INT(AB44*Steuern!$H$12-Steuern!$I$12),IF(AB44&gt;Steuern!$F$12,INT(AB44*Steuern!$H$14-Steuern!$I$14),0))))</f>
        <v>62762</v>
      </c>
      <c r="AD44" s="235">
        <f>IF(AND(AB44/2&gt;Steuern!$D$6,AB44/2&lt;Steuern!$D$10),INT((Steuern!$H$8*(AB44/2-Steuern!$D$8)/10000+Steuern!$I$8)*(AB44/2-Steuern!$D$6)/10000),IF(AND(AB44/2&gt;Steuern!$F$8,AB44/2&lt;Steuern!$D$12),INT((Steuern!$H$10*(AB44/2-Steuern!$F$8)/10000+Steuern!$I$10)*(AB44/2-Steuern!$F$8)/10000+Steuern!$J$10),IF(AND(AB44/2&gt;Steuern!$F$10,AB44/2&lt;Steuern!$D$14),INT(AB44/2*Steuern!$H$12-Steuern!$I$12),IF(AB44/2&gt;Steuern!$F$12,INT(AB44/2*Steuern!$H$14-Steuern!$I$14),0))))*2</f>
        <v>52788</v>
      </c>
      <c r="AE44" s="235">
        <f t="shared" si="8"/>
        <v>18926.796457762124</v>
      </c>
      <c r="AF44" s="235">
        <f t="shared" si="9"/>
        <v>6665.3985913189754</v>
      </c>
      <c r="AG44" s="235">
        <f t="shared" si="10"/>
        <v>8399.4381183034457</v>
      </c>
      <c r="AH44" s="235">
        <f t="shared" si="11"/>
        <v>22018.051986822913</v>
      </c>
      <c r="AI44" s="235">
        <f t="shared" si="12"/>
        <v>9756.6541203797642</v>
      </c>
      <c r="AJ44" s="235">
        <f t="shared" si="13"/>
        <v>11490.693647364234</v>
      </c>
      <c r="AK44" s="254"/>
      <c r="AL44" s="235">
        <f>('Immobilie als Kapitalanlage'!$C$16+'Immobilie als Kapitalanlage'!$C$20+'Immobilie als Kapitalanlage'!$C$15)*(1-'Immobilie als Kapitalanlage'!$D$53)</f>
        <v>190858.5</v>
      </c>
      <c r="AM44" s="235">
        <f>AL44*'Immobilie als Kapitalanlage'!$D$52</f>
        <v>3817.17</v>
      </c>
      <c r="AN44" s="235">
        <f t="shared" si="14"/>
        <v>188289.20791775046</v>
      </c>
      <c r="AO44" s="235">
        <f>IF(AND(AN44&gt;Steuern!$D$6,AN44&lt;Steuern!$D$10),INT((Steuern!H39*(AN44-Steuern!$D$8)/10000+Steuern!$I$8)*(AN44-Steuern!$D$6)/10000),IF(AND(AN44&gt;Steuern!$F$8,AN44&lt;Steuern!$D$12),INT((Steuern!$H$10*(AN44-Steuern!$F$8)/10000+Steuern!$I$10)*(AN44-Steuern!$F$8)/10000+Steuern!$J$10),IF(AND(AN44&gt;Steuern!$F$10,AN44&lt;Steuern!$D$14),INT(AN44*Steuern!$H$12-Steuern!$I$12),IF(AN44&gt;Steuern!$F$12,INT(AN44*Steuern!$H$14-Steuern!$I$14),0))))</f>
        <v>69108</v>
      </c>
      <c r="AP44" s="235">
        <f>IF(AND(AN44/2&gt;Steuern!$D$6,AN44/2&lt;Steuern!$D$10),INT((Steuern!$H$8*(AN44/2-Steuern!$D$8)/10000+Steuern!$I$8)*(AN44/2-Steuern!$D$6)/10000),IF(AND(AN44/2&gt;Steuern!$F$8,AN44/2&lt;Steuern!$D$12),INT((Steuern!$H$10*(AN44/2-Steuern!$F$8)/10000+Steuern!$I$10)*(AN44/2-Steuern!$F$8)/10000+Steuern!$J$10),IF(AND(AN44/2&gt;Steuern!$F$10,AN44/2&lt;Steuern!$D$14),INT(AN44/2*Steuern!$H$12-Steuern!$I$12),IF(AN44/2&gt;Steuern!$F$12,INT(AN44/2*Steuern!$H$14-Steuern!$I$14),0))))*2</f>
        <v>59134</v>
      </c>
      <c r="AQ44" s="235">
        <f t="shared" si="15"/>
        <v>176027.81005130732</v>
      </c>
      <c r="AR44" s="235">
        <f>IF(AND(AQ44&gt;Steuern!$D$6,AQ44&lt;Steuern!$D$10),INT((Steuern!$H$8*(AQ44-Steuern!$D$6)/10000+Steuern!$I$8)*(AQ44-Steuern!$D$6)/10000),IF(AND(AQ44&gt;Steuern!$F$8,AQ44&lt;Steuern!$D$12),INT((Steuern!$H$10*(AQ44-Steuern!$F$8)/10000+Steuern!$I$10)*(AQ44-Steuern!$F$8)/10000+Steuern!$J$10),IF(AND(AQ44&gt;Steuern!$F$10,AQ44&lt;Steuern!$D$14),INT(AQ44*Steuern!$H$12-Steuern!$I$12),IF(AQ44&gt;Steuern!$F$12,INT(AQ44*Steuern!$H$14-Steuern!$I$14),0))))</f>
        <v>63958</v>
      </c>
      <c r="AS44" s="235">
        <f t="shared" si="16"/>
        <v>177761.84957829179</v>
      </c>
      <c r="AT44" s="235">
        <f>IF(AND(AS44&gt;Steuern!$D$6,AS44&lt;Steuern!$D$10),INT((Steuern!$H$8*(AS44-Steuern!$D$6)/10000+Steuern!$I$8)*(AS44-Steuern!$D$6)/10000),IF(AND(AS44&gt;Steuern!$F$8,AS44&lt;Steuern!$D$12),INT((Steuern!$H$10*(AS44-Steuern!$F$8)/10000+Steuern!$I$10)*(AS44-Steuern!$F$8)/10000+Steuern!$J$10),IF(AND(AS44&gt;Steuern!$F$10,AS44&lt;Steuern!$D$14),INT(AS44*Steuern!$H$12-Steuern!$I$12),IF(AS44&gt;Steuern!$F$12,INT(AS44*Steuern!$H$14-Steuern!$I$14),0))))</f>
        <v>64686</v>
      </c>
      <c r="AU44" s="235">
        <f t="shared" si="17"/>
        <v>191380.46344681125</v>
      </c>
      <c r="AV44" s="235">
        <f>IF(AND(AU44&gt;Steuern!$D$6,AU44&lt;Steuern!$D$10),INT((Steuern!$H$8*(AU44-Steuern!$D$6)/10000+Steuern!$I$8)*(AU44-Steuern!$D$6)/10000),IF(AND(AU44&gt;Steuern!$F$8,AU44&lt;Steuern!$D$12),INT((Steuern!$H$10*(AU44-Steuern!$F$8)/10000+Steuern!$I$10)*(AU44-Steuern!$F$8)/10000+Steuern!$J$10),IF(AND(AU44&gt;Steuern!$F$10,AU44&lt;Steuern!$D$14),INT(AU44*Steuern!$H$12-Steuern!$I$12),IF(AU44&gt;Steuern!$F$12,INT(AU44*Steuern!$H$14-Steuern!$I$14),0))))</f>
        <v>70406</v>
      </c>
      <c r="AW44" s="235">
        <f>IF(AND(AU44/2&gt;Steuern!$D$6,AU44/2&lt;Steuern!$D$10),INT((Steuern!$H$8*(AU44/2-Steuern!$D$8)/10000+Steuern!$I$8)*(AU44/2-Steuern!$D$6)/10000),IF(AND(AU44/2&gt;Steuern!$F$8,AU44/2&lt;Steuern!$D$12),INT((Steuern!$H$10*(AU44/2-Steuern!$F$8)/10000+Steuern!$I$10)*(AU44/2-Steuern!$F$8)/10000+Steuern!$J$10),IF(AND(AU44/2&gt;Steuern!$F$10,AU44/2&lt;Steuern!$D$14),INT(AU44/2*Steuern!$H$12-Steuern!$I$12),IF(AU44/2&gt;Steuern!$F$12,INT(AU44/2*Steuern!$H$14-Steuern!$I$14),0))))*2</f>
        <v>60432</v>
      </c>
      <c r="AX44" s="235">
        <f t="shared" si="18"/>
        <v>179119.0655803681</v>
      </c>
      <c r="AY44" s="235">
        <f>IF(AND(AX44&gt;Steuern!$D$6,AX44&lt;Steuern!$D$10),INT((Steuern!N39*(AX44-Steuern!$D$8)/10000+Steuern!$I$8)*(AX44-Steuern!$D$6)/10000),IF(AND(AX44&gt;Steuern!$F$8,AX44&lt;Steuern!$D$12),INT((Steuern!$H$10*(AX44-Steuern!$F$8)/10000+Steuern!$I$10)*(AX44-Steuern!$F$8)/10000+Steuern!$J$10),IF(AND(AX44&gt;Steuern!$F$10,AX44&lt;Steuern!$D$14),INT(AX44*Steuern!$H$12-Steuern!$I$12),IF(AX44&gt;Steuern!$F$12,INT(AX44*Steuern!$H$14-Steuern!$I$14),0))))</f>
        <v>65257</v>
      </c>
      <c r="AZ44" s="235">
        <f t="shared" si="19"/>
        <v>180853.10510735257</v>
      </c>
      <c r="BA44" s="235">
        <f>IF(AND(AZ44&gt;Steuern!$D$6,AZ44&lt;Steuern!$D$10),INT((Steuern!P39*(AZ44-Steuern!$D$8)/10000+Steuern!$I$8)*(AZ44-Steuern!$D$6)/10000),IF(AND(AZ44&gt;Steuern!$F$8,AZ44&lt;Steuern!$D$12),INT((Steuern!$H$10*(AZ44-Steuern!$F$8)/10000+Steuern!$I$10)*(AZ44-Steuern!$F$8)/10000+Steuern!$J$10),IF(AND(AZ44&gt;Steuern!$F$10,AZ44&lt;Steuern!$D$14),INT(AZ44*Steuern!$H$12-Steuern!$I$12),IF(AZ44&gt;Steuern!$F$12,INT(AZ44*Steuern!$H$14-Steuern!$I$14),0))))</f>
        <v>65985</v>
      </c>
      <c r="BB44" s="235">
        <f t="shared" ref="BB44:BC44" si="165">AC44-AO44</f>
        <v>-6346</v>
      </c>
      <c r="BC44" s="235">
        <f t="shared" si="165"/>
        <v>-6346</v>
      </c>
      <c r="BD44" s="235">
        <f t="shared" si="21"/>
        <v>-1196</v>
      </c>
      <c r="BE44" s="235">
        <f t="shared" si="22"/>
        <v>-1924</v>
      </c>
      <c r="BF44" s="235">
        <f t="shared" ref="BF44:BG44" si="166">AC44-AV44</f>
        <v>-7644</v>
      </c>
      <c r="BG44" s="235">
        <f t="shared" si="166"/>
        <v>-7644</v>
      </c>
      <c r="BH44" s="235">
        <f t="shared" si="24"/>
        <v>-2495</v>
      </c>
      <c r="BI44" s="235">
        <f t="shared" si="25"/>
        <v>-3223</v>
      </c>
      <c r="BJ44" s="235">
        <f t="shared" si="26"/>
        <v>11255.972659593212</v>
      </c>
      <c r="BK44" s="235">
        <f t="shared" si="27"/>
        <v>11255.972659593212</v>
      </c>
      <c r="BL44" s="235">
        <f t="shared" si="28"/>
        <v>4144.5747931500628</v>
      </c>
      <c r="BM44" s="235">
        <f t="shared" si="29"/>
        <v>5150.6143201345349</v>
      </c>
      <c r="BN44" s="235">
        <f t="shared" si="30"/>
        <v>11255.972659593212</v>
      </c>
      <c r="BO44" s="235">
        <f t="shared" si="31"/>
        <v>-43606.194973325124</v>
      </c>
      <c r="BP44" s="235">
        <f t="shared" si="32"/>
        <v>11255.972659593212</v>
      </c>
      <c r="BQ44" s="235">
        <f t="shared" si="33"/>
        <v>-44897.194973325124</v>
      </c>
      <c r="BR44" s="235">
        <f t="shared" si="34"/>
        <v>4144.5747931500628</v>
      </c>
      <c r="BS44" s="235">
        <f t="shared" si="35"/>
        <v>-80326.330354040198</v>
      </c>
      <c r="BT44" s="235">
        <f t="shared" si="36"/>
        <v>5150.6143201345349</v>
      </c>
      <c r="BU44" s="235">
        <f t="shared" si="37"/>
        <v>-55730.352847212693</v>
      </c>
      <c r="BV44" s="235">
        <f t="shared" si="38"/>
        <v>13049.228188654</v>
      </c>
      <c r="BW44" s="235">
        <f t="shared" si="39"/>
        <v>13049.228188654</v>
      </c>
      <c r="BX44" s="235">
        <f t="shared" si="40"/>
        <v>5936.8303222108516</v>
      </c>
      <c r="BY44" s="235">
        <f t="shared" si="41"/>
        <v>6942.8698491953237</v>
      </c>
      <c r="BZ44" s="235">
        <f t="shared" si="42"/>
        <v>13049.228188654</v>
      </c>
      <c r="CA44" s="235">
        <f t="shared" si="43"/>
        <v>6416.8370087752082</v>
      </c>
      <c r="CB44" s="235">
        <f t="shared" si="44"/>
        <v>13049.228188654</v>
      </c>
      <c r="CC44" s="235">
        <f t="shared" si="45"/>
        <v>6886.8370087752082</v>
      </c>
      <c r="CD44" s="235">
        <f t="shared" si="46"/>
        <v>5936.8303222108516</v>
      </c>
      <c r="CE44" s="235">
        <f t="shared" si="47"/>
        <v>-30299.29837193984</v>
      </c>
      <c r="CF44" s="235">
        <f t="shared" si="48"/>
        <v>6942.8698491953237</v>
      </c>
      <c r="CG44" s="235">
        <f t="shared" si="49"/>
        <v>-5703.3208651123678</v>
      </c>
      <c r="CH44" s="254"/>
      <c r="CI44" s="249">
        <f t="shared" ca="1" si="64"/>
        <v>60146</v>
      </c>
      <c r="CJ44" s="241">
        <f t="shared" si="50"/>
        <v>11255.972659593212</v>
      </c>
      <c r="CK44" s="248"/>
      <c r="CL44" s="248"/>
      <c r="CM44" s="248"/>
      <c r="CN44" s="241">
        <f t="shared" si="54"/>
        <v>11255.972659593212</v>
      </c>
      <c r="CO44" s="248"/>
      <c r="CP44" s="248"/>
      <c r="CQ44" s="248"/>
      <c r="CR44" s="241"/>
      <c r="CS44" s="248"/>
      <c r="CT44" s="248"/>
      <c r="CU44" s="248"/>
      <c r="CV44" s="241"/>
      <c r="CW44" s="248"/>
      <c r="CX44" s="248"/>
      <c r="CY44" s="248"/>
      <c r="CZ44" s="241"/>
      <c r="DA44" s="241">
        <f t="shared" si="55"/>
        <v>13049.228188654</v>
      </c>
      <c r="DB44" s="248"/>
      <c r="DC44" s="248"/>
      <c r="DD44" s="248"/>
      <c r="DE44" s="241">
        <f t="shared" si="59"/>
        <v>13049.228188654</v>
      </c>
      <c r="DF44" s="248"/>
      <c r="DG44" s="248"/>
      <c r="DH44" s="248"/>
      <c r="DI44" s="241"/>
      <c r="DJ44" s="248"/>
      <c r="DK44" s="248"/>
      <c r="DL44" s="248"/>
      <c r="DM44" s="241"/>
      <c r="DN44" s="248"/>
      <c r="DO44" s="248"/>
      <c r="DP44" s="248"/>
      <c r="DQ44" s="241"/>
      <c r="DR44" s="241"/>
      <c r="DS44" s="241">
        <f t="shared" si="3"/>
        <v>13049.228188654</v>
      </c>
    </row>
    <row r="45" spans="1:123" ht="15.75" customHeight="1">
      <c r="A45" s="243">
        <v>41</v>
      </c>
      <c r="B45" s="244">
        <f>B44*(1+'Immobilie als Kapitalanlage'!$D$47)</f>
        <v>374434.34036010178</v>
      </c>
      <c r="C45" s="241">
        <f>$C$4*(1+'Immobilie als Kapitalanlage'!$D$47)^A45</f>
        <v>0</v>
      </c>
      <c r="D45" s="244">
        <f t="shared" si="69"/>
        <v>374434.34036010178</v>
      </c>
      <c r="E45" s="138"/>
      <c r="F45" s="245">
        <f>MAX(-FV('Immobilie als Kapitalanlage'!$D$26/12,A45*12,(-I45/12),'Immobilie als Kapitalanlage'!$C$25,0),0)</f>
        <v>0</v>
      </c>
      <c r="G45" s="245">
        <f>IF(I45-H45&gt;G44,F44*'Immobilie als Kapitalanlage'!$D$26,I45-H45)</f>
        <v>0</v>
      </c>
      <c r="H45" s="241">
        <f t="shared" si="4"/>
        <v>0</v>
      </c>
      <c r="I45" s="241">
        <f>$F$4*('Immobilie als Kapitalanlage'!$D$26+'Immobilie als Kapitalanlage'!$D$36)</f>
        <v>12450</v>
      </c>
      <c r="J45" s="245">
        <f>MAX((-FV('Immobilie als Kapitalanlage'!$C$85/12,(A45-$A$14)*12,(-M45/12),$J$14,0)),0)</f>
        <v>0</v>
      </c>
      <c r="K45" s="241">
        <f t="shared" si="98"/>
        <v>12261.397866443147</v>
      </c>
      <c r="L45" s="241">
        <f t="shared" si="99"/>
        <v>0</v>
      </c>
      <c r="M45" s="241">
        <f>$J$14*('Immobilie als Kapitalanlage'!$C$85+'Immobilie als Kapitalanlage'!$C$86)</f>
        <v>12261.397866443147</v>
      </c>
      <c r="N45" s="245">
        <f>MAX((-FV('Immobilie als Kapitalanlage'!$C$88/12,(A45-$A$19)*12,(-Q45/12),$N$19,0)),0)</f>
        <v>0</v>
      </c>
      <c r="O45" s="245">
        <f t="shared" si="115"/>
        <v>10527.358339458677</v>
      </c>
      <c r="P45" s="241">
        <f t="shared" si="116"/>
        <v>0</v>
      </c>
      <c r="Q45" s="241">
        <f>$N$19*('Immobilie als Kapitalanlage'!$C$88+'Immobilie als Kapitalanlage'!$C$89)</f>
        <v>10527.358339458677</v>
      </c>
      <c r="R45" s="250">
        <f t="shared" si="6"/>
        <v>-3216.6721819541162</v>
      </c>
      <c r="S45" s="250">
        <f>'Immobilie als Kapitalanlage'!$C$27*12*(1+'Immobilie als Kapitalanlage'!$D$44)^A44</f>
        <v>-540.52810965291565</v>
      </c>
      <c r="T45" s="250">
        <f>'Immobilie als Kapitalanlage'!$C$29*12*(1+'Immobilie als Kapitalanlage'!$D$44)^A44</f>
        <v>-1881.2497933998538</v>
      </c>
      <c r="U45" s="250">
        <f>'Immobilie als Kapitalanlage'!$C$30*12*(1+'Immobilie als Kapitalanlage'!$D$44)^A44</f>
        <v>-794.89427890134664</v>
      </c>
      <c r="V45" s="250">
        <f>'Immobilie als Kapitalanlage'!$C$28*12*(1+'Immobilie als Kapitalanlage'!$D$44)^A44</f>
        <v>-1351.3202741322893</v>
      </c>
      <c r="W45" s="241">
        <f>$W$5*(1+'Immobilie als Kapitalanlage'!$D$43)^A44</f>
        <v>22522.004568871489</v>
      </c>
      <c r="X45" s="241">
        <f>$X$5*(1+'Immobilie als Kapitalanlage'!$D$43)^A44</f>
        <v>25675.085208513494</v>
      </c>
      <c r="Y45" s="241">
        <f>-'Immobilie als Kapitalanlage'!$C$25*'Immobilie als Kapitalanlage'!$D$99</f>
        <v>0</v>
      </c>
      <c r="Z45" s="241">
        <f t="shared" si="7"/>
        <v>0</v>
      </c>
      <c r="AA45" s="241">
        <f>FV((((1+'Immobilie als Kapitalanlage'!$D$80)^(1/12)-1)),A45*12,Y45/12,-'Immobilie als Kapitalanlage'!$G$95,)</f>
        <v>0</v>
      </c>
      <c r="AB45" s="241">
        <f>$AB$5*(1+'Immobilie als Kapitalanlage'!$D$51)^A44</f>
        <v>176643.17308918815</v>
      </c>
      <c r="AC45" s="241">
        <f>IF(AND(AB45&gt;Steuern!$D$6,AB45&lt;Steuern!$D$10),INT((Steuern!$H$8*(AB45-Steuern!$D$6)/10000+Steuern!$I$8)*(AB45-Steuern!$D$6)/10000),IF(AND(AB45&gt;Steuern!$F$8,AB45&lt;Steuern!$D$12),INT((Steuern!$H$10*(AB45-Steuern!$F$8)/10000+Steuern!$I$10)*(AB45-Steuern!$F$8)/10000+Steuern!$J$10),IF(AND(AB45&gt;Steuern!$F$10,AB45&lt;Steuern!$D$14),INT(AB45*Steuern!$H$12-Steuern!$I$12),IF(AB45&gt;Steuern!$F$12,INT(AB45*Steuern!$H$14-Steuern!$I$14),0))))</f>
        <v>64217</v>
      </c>
      <c r="AD45" s="241">
        <f>IF(AND(AB45/2&gt;Steuern!$D$6,AB45/2&lt;Steuern!$D$10),INT((Steuern!$H$8*(AB45/2-Steuern!$D$8)/10000+Steuern!$I$8)*(AB45/2-Steuern!$D$6)/10000),IF(AND(AB45/2&gt;Steuern!$F$8,AB45/2&lt;Steuern!$D$12),INT((Steuern!$H$10*(AB45/2-Steuern!$F$8)/10000+Steuern!$I$10)*(AB45/2-Steuern!$F$8)/10000+Steuern!$J$10),IF(AND(AB45/2&gt;Steuern!$F$10,AB45/2&lt;Steuern!$D$14),INT(AB45/2*Steuern!$H$12-Steuern!$I$12),IF(AB45/2&gt;Steuern!$F$12,INT(AB45/2*Steuern!$H$14-Steuern!$I$14),0))))*2</f>
        <v>54244</v>
      </c>
      <c r="AE45" s="241">
        <f t="shared" si="8"/>
        <v>19305.332386917373</v>
      </c>
      <c r="AF45" s="241">
        <f t="shared" si="9"/>
        <v>7043.9345204742258</v>
      </c>
      <c r="AG45" s="241">
        <f t="shared" si="10"/>
        <v>8777.9740474586961</v>
      </c>
      <c r="AH45" s="241">
        <f t="shared" si="11"/>
        <v>22458.413026559378</v>
      </c>
      <c r="AI45" s="241">
        <f t="shared" si="12"/>
        <v>10197.015160116231</v>
      </c>
      <c r="AJ45" s="241">
        <f t="shared" si="13"/>
        <v>11931.054687100701</v>
      </c>
      <c r="AK45" s="248"/>
      <c r="AL45" s="241">
        <f>('Immobilie als Kapitalanlage'!$C$16+'Immobilie als Kapitalanlage'!$C$20+'Immobilie als Kapitalanlage'!$C$15)*(1-'Immobilie als Kapitalanlage'!$D$53)</f>
        <v>190858.5</v>
      </c>
      <c r="AM45" s="241">
        <f>AL45*'Immobilie als Kapitalanlage'!$D$52</f>
        <v>3817.17</v>
      </c>
      <c r="AN45" s="241">
        <f t="shared" si="14"/>
        <v>192131.33547610551</v>
      </c>
      <c r="AO45" s="241">
        <f>IF(AND(AN45&gt;Steuern!$D$6,AN45&lt;Steuern!$D$10),INT((Steuern!H40*(AN45-Steuern!$D$8)/10000+Steuern!$I$8)*(AN45-Steuern!$D$6)/10000),IF(AND(AN45&gt;Steuern!$F$8,AN45&lt;Steuern!$D$12),INT((Steuern!$H$10*(AN45-Steuern!$F$8)/10000+Steuern!$I$10)*(AN45-Steuern!$F$8)/10000+Steuern!$J$10),IF(AND(AN45&gt;Steuern!$F$10,AN45&lt;Steuern!$D$14),INT(AN45*Steuern!$H$12-Steuern!$I$12),IF(AN45&gt;Steuern!$F$12,INT(AN45*Steuern!$H$14-Steuern!$I$14),0))))</f>
        <v>70722</v>
      </c>
      <c r="AP45" s="241">
        <f>IF(AND(AN45/2&gt;Steuern!$D$6,AN45/2&lt;Steuern!$D$10),INT((Steuern!$H$8*(AN45/2-Steuern!$D$8)/10000+Steuern!$I$8)*(AN45/2-Steuern!$D$6)/10000),IF(AND(AN45/2&gt;Steuern!$F$8,AN45/2&lt;Steuern!$D$12),INT((Steuern!$H$10*(AN45/2-Steuern!$F$8)/10000+Steuern!$I$10)*(AN45/2-Steuern!$F$8)/10000+Steuern!$J$10),IF(AND(AN45/2&gt;Steuern!$F$10,AN45/2&lt;Steuern!$D$14),INT(AN45/2*Steuern!$H$12-Steuern!$I$12),IF(AN45/2&gt;Steuern!$F$12,INT(AN45/2*Steuern!$H$14-Steuern!$I$14),0))))*2</f>
        <v>60748</v>
      </c>
      <c r="AQ45" s="241">
        <f t="shared" si="15"/>
        <v>179869.93760966236</v>
      </c>
      <c r="AR45" s="241">
        <f>IF(AND(AQ45&gt;Steuern!$D$6,AQ45&lt;Steuern!$D$10),INT((Steuern!$H$8*(AQ45-Steuern!$D$6)/10000+Steuern!$I$8)*(AQ45-Steuern!$D$6)/10000),IF(AND(AQ45&gt;Steuern!$F$8,AQ45&lt;Steuern!$D$12),INT((Steuern!$H$10*(AQ45-Steuern!$F$8)/10000+Steuern!$I$10)*(AQ45-Steuern!$F$8)/10000+Steuern!$J$10),IF(AND(AQ45&gt;Steuern!$F$10,AQ45&lt;Steuern!$D$14),INT(AQ45*Steuern!$H$12-Steuern!$I$12),IF(AQ45&gt;Steuern!$F$12,INT(AQ45*Steuern!$H$14-Steuern!$I$14),0))))</f>
        <v>65572</v>
      </c>
      <c r="AS45" s="241">
        <f t="shared" si="16"/>
        <v>181603.97713664683</v>
      </c>
      <c r="AT45" s="241">
        <f>IF(AND(AS45&gt;Steuern!$D$6,AS45&lt;Steuern!$D$10),INT((Steuern!$H$8*(AS45-Steuern!$D$6)/10000+Steuern!$I$8)*(AS45-Steuern!$D$6)/10000),IF(AND(AS45&gt;Steuern!$F$8,AS45&lt;Steuern!$D$12),INT((Steuern!$H$10*(AS45-Steuern!$F$8)/10000+Steuern!$I$10)*(AS45-Steuern!$F$8)/10000+Steuern!$J$10),IF(AND(AS45&gt;Steuern!$F$10,AS45&lt;Steuern!$D$14),INT(AS45*Steuern!$H$12-Steuern!$I$12),IF(AS45&gt;Steuern!$F$12,INT(AS45*Steuern!$H$14-Steuern!$I$14),0))))</f>
        <v>66300</v>
      </c>
      <c r="AU45" s="241">
        <f t="shared" si="17"/>
        <v>195284.4161157475</v>
      </c>
      <c r="AV45" s="241">
        <f>IF(AND(AU45&gt;Steuern!$D$6,AU45&lt;Steuern!$D$10),INT((Steuern!$H$8*(AU45-Steuern!$D$6)/10000+Steuern!$I$8)*(AU45-Steuern!$D$6)/10000),IF(AND(AU45&gt;Steuern!$F$8,AU45&lt;Steuern!$D$12),INT((Steuern!$H$10*(AU45-Steuern!$F$8)/10000+Steuern!$I$10)*(AU45-Steuern!$F$8)/10000+Steuern!$J$10),IF(AND(AU45&gt;Steuern!$F$10,AU45&lt;Steuern!$D$14),INT(AU45*Steuern!$H$12-Steuern!$I$12),IF(AU45&gt;Steuern!$F$12,INT(AU45*Steuern!$H$14-Steuern!$I$14),0))))</f>
        <v>72046</v>
      </c>
      <c r="AW45" s="241">
        <f>IF(AND(AU45/2&gt;Steuern!$D$6,AU45/2&lt;Steuern!$D$10),INT((Steuern!$H$8*(AU45/2-Steuern!$D$8)/10000+Steuern!$I$8)*(AU45/2-Steuern!$D$6)/10000),IF(AND(AU45/2&gt;Steuern!$F$8,AU45/2&lt;Steuern!$D$12),INT((Steuern!$H$10*(AU45/2-Steuern!$F$8)/10000+Steuern!$I$10)*(AU45/2-Steuern!$F$8)/10000+Steuern!$J$10),IF(AND(AU45/2&gt;Steuern!$F$10,AU45/2&lt;Steuern!$D$14),INT(AU45/2*Steuern!$H$12-Steuern!$I$12),IF(AU45/2&gt;Steuern!$F$12,INT(AU45/2*Steuern!$H$14-Steuern!$I$14),0))))*2</f>
        <v>62072</v>
      </c>
      <c r="AX45" s="241">
        <f t="shared" si="18"/>
        <v>183023.01824930435</v>
      </c>
      <c r="AY45" s="241">
        <f>IF(AND(AX45&gt;Steuern!$D$6,AX45&lt;Steuern!$D$10),INT((Steuern!N40*(AX45-Steuern!$D$8)/10000+Steuern!$I$8)*(AX45-Steuern!$D$6)/10000),IF(AND(AX45&gt;Steuern!$F$8,AX45&lt;Steuern!$D$12),INT((Steuern!$H$10*(AX45-Steuern!$F$8)/10000+Steuern!$I$10)*(AX45-Steuern!$F$8)/10000+Steuern!$J$10),IF(AND(AX45&gt;Steuern!$F$10,AX45&lt;Steuern!$D$14),INT(AX45*Steuern!$H$12-Steuern!$I$12),IF(AX45&gt;Steuern!$F$12,INT(AX45*Steuern!$H$14-Steuern!$I$14),0))))</f>
        <v>66896</v>
      </c>
      <c r="AZ45" s="241">
        <f t="shared" si="19"/>
        <v>184757.05777628883</v>
      </c>
      <c r="BA45" s="241">
        <f>IF(AND(AZ45&gt;Steuern!$D$6,AZ45&lt;Steuern!$D$10),INT((Steuern!P40*(AZ45-Steuern!$D$8)/10000+Steuern!$I$8)*(AZ45-Steuern!$D$6)/10000),IF(AND(AZ45&gt;Steuern!$F$8,AZ45&lt;Steuern!$D$12),INT((Steuern!$H$10*(AZ45-Steuern!$F$8)/10000+Steuern!$I$10)*(AZ45-Steuern!$F$8)/10000+Steuern!$J$10),IF(AND(AZ45&gt;Steuern!$F$10,AZ45&lt;Steuern!$D$14),INT(AZ45*Steuern!$H$12-Steuern!$I$12),IF(AZ45&gt;Steuern!$F$12,INT(AZ45*Steuern!$H$14-Steuern!$I$14),0))))</f>
        <v>67624</v>
      </c>
      <c r="BB45" s="241">
        <f t="shared" ref="BB45:BC45" si="167">AC45-AO45</f>
        <v>-6505</v>
      </c>
      <c r="BC45" s="241">
        <f t="shared" si="167"/>
        <v>-6504</v>
      </c>
      <c r="BD45" s="241">
        <f t="shared" si="21"/>
        <v>-1355</v>
      </c>
      <c r="BE45" s="241">
        <f t="shared" si="22"/>
        <v>-2083</v>
      </c>
      <c r="BF45" s="241">
        <f t="shared" ref="BF45:BG45" si="168">AC45-AV45</f>
        <v>-7829</v>
      </c>
      <c r="BG45" s="241">
        <f t="shared" si="168"/>
        <v>-7828</v>
      </c>
      <c r="BH45" s="241">
        <f t="shared" si="24"/>
        <v>-2679</v>
      </c>
      <c r="BI45" s="241">
        <f t="shared" si="25"/>
        <v>-3407</v>
      </c>
      <c r="BJ45" s="241">
        <f t="shared" si="26"/>
        <v>11449.012112785083</v>
      </c>
      <c r="BK45" s="241">
        <f t="shared" si="27"/>
        <v>11450.012112785083</v>
      </c>
      <c r="BL45" s="241">
        <f t="shared" si="28"/>
        <v>4337.6142463419383</v>
      </c>
      <c r="BM45" s="241">
        <f t="shared" si="29"/>
        <v>5343.6537733264067</v>
      </c>
      <c r="BN45" s="241">
        <f t="shared" si="30"/>
        <v>11449.012112785083</v>
      </c>
      <c r="BO45" s="241">
        <f t="shared" si="31"/>
        <v>-32157.182860540041</v>
      </c>
      <c r="BP45" s="241">
        <f t="shared" si="32"/>
        <v>11450.012112785083</v>
      </c>
      <c r="BQ45" s="241">
        <f t="shared" si="33"/>
        <v>-33447.182860540037</v>
      </c>
      <c r="BR45" s="241">
        <f t="shared" si="34"/>
        <v>4337.6142463419383</v>
      </c>
      <c r="BS45" s="241">
        <f t="shared" si="35"/>
        <v>-75988.716107698259</v>
      </c>
      <c r="BT45" s="241">
        <f t="shared" si="36"/>
        <v>5343.6537733264067</v>
      </c>
      <c r="BU45" s="241">
        <f t="shared" si="37"/>
        <v>-50386.699073886288</v>
      </c>
      <c r="BV45" s="241">
        <f t="shared" si="38"/>
        <v>13278.092752427088</v>
      </c>
      <c r="BW45" s="241">
        <f t="shared" si="39"/>
        <v>13279.092752427088</v>
      </c>
      <c r="BX45" s="241">
        <f t="shared" si="40"/>
        <v>6166.6948859839431</v>
      </c>
      <c r="BY45" s="241">
        <f t="shared" si="41"/>
        <v>7172.7344129684116</v>
      </c>
      <c r="BZ45" s="241">
        <f t="shared" si="42"/>
        <v>13278.092752427088</v>
      </c>
      <c r="CA45" s="241">
        <f t="shared" si="43"/>
        <v>19694.929761202297</v>
      </c>
      <c r="CB45" s="241">
        <f t="shared" si="44"/>
        <v>13279.092752427088</v>
      </c>
      <c r="CC45" s="241">
        <f t="shared" si="45"/>
        <v>20165.929761202297</v>
      </c>
      <c r="CD45" s="241">
        <f t="shared" si="46"/>
        <v>6166.6948859839431</v>
      </c>
      <c r="CE45" s="241">
        <f t="shared" si="47"/>
        <v>-24132.603485955897</v>
      </c>
      <c r="CF45" s="241">
        <f t="shared" si="48"/>
        <v>7172.7344129684116</v>
      </c>
      <c r="CG45" s="241">
        <f t="shared" si="49"/>
        <v>1469.4135478560438</v>
      </c>
      <c r="CH45" s="248"/>
      <c r="CI45" s="249">
        <f t="shared" ca="1" si="64"/>
        <v>60511</v>
      </c>
      <c r="CJ45" s="241">
        <v>0</v>
      </c>
      <c r="CK45" s="248"/>
      <c r="CL45" s="248"/>
      <c r="CM45" s="248"/>
      <c r="CN45" s="241">
        <v>0</v>
      </c>
      <c r="CO45" s="248"/>
      <c r="CP45" s="248"/>
      <c r="CQ45" s="248"/>
      <c r="CR45" s="241"/>
      <c r="CS45" s="248"/>
      <c r="CT45" s="248"/>
      <c r="CU45" s="248"/>
      <c r="CV45" s="241"/>
      <c r="CW45" s="248"/>
      <c r="CX45" s="248"/>
      <c r="CY45" s="248"/>
      <c r="CZ45" s="241"/>
      <c r="DA45" s="241">
        <v>0</v>
      </c>
      <c r="DB45" s="248"/>
      <c r="DC45" s="248"/>
      <c r="DD45" s="248"/>
      <c r="DE45" s="241">
        <v>0</v>
      </c>
      <c r="DF45" s="248"/>
      <c r="DG45" s="248"/>
      <c r="DH45" s="248"/>
      <c r="DI45" s="241"/>
      <c r="DJ45" s="248"/>
      <c r="DK45" s="248"/>
      <c r="DL45" s="248"/>
      <c r="DM45" s="241"/>
      <c r="DN45" s="248"/>
      <c r="DO45" s="248"/>
      <c r="DP45" s="248"/>
      <c r="DQ45" s="241"/>
      <c r="DR45" s="241"/>
      <c r="DS45" s="241">
        <f t="shared" si="3"/>
        <v>0</v>
      </c>
    </row>
    <row r="46" spans="1:123" ht="15.75" customHeight="1">
      <c r="A46" s="243">
        <v>42</v>
      </c>
      <c r="B46" s="244">
        <f>B45*(1+'Immobilie als Kapitalanlage'!$D$47)</f>
        <v>378178.68376370281</v>
      </c>
      <c r="C46" s="241">
        <f>$C$4*(1+'Immobilie als Kapitalanlage'!$D$47)^A46</f>
        <v>0</v>
      </c>
      <c r="D46" s="244">
        <f t="shared" si="69"/>
        <v>378178.68376370281</v>
      </c>
      <c r="E46" s="138"/>
      <c r="F46" s="245">
        <f>MAX(-FV('Immobilie als Kapitalanlage'!$D$26/12,A46*12,(-I46/12),'Immobilie als Kapitalanlage'!$C$25,0),0)</f>
        <v>0</v>
      </c>
      <c r="G46" s="245">
        <f>IF(I46-H46&gt;G45,F45*'Immobilie als Kapitalanlage'!$D$26,I46-H46)</f>
        <v>0</v>
      </c>
      <c r="H46" s="241">
        <f t="shared" si="4"/>
        <v>0</v>
      </c>
      <c r="I46" s="241">
        <f>$F$4*('Immobilie als Kapitalanlage'!$D$26+'Immobilie als Kapitalanlage'!$D$36)</f>
        <v>12450</v>
      </c>
      <c r="J46" s="245">
        <f>MAX((-FV('Immobilie als Kapitalanlage'!$C$85/12,(A46-$A$14)*12,(-M46/12),$J$14,0)),0)</f>
        <v>0</v>
      </c>
      <c r="K46" s="241">
        <f t="shared" si="98"/>
        <v>12261.397866443147</v>
      </c>
      <c r="L46" s="241">
        <f t="shared" si="99"/>
        <v>0</v>
      </c>
      <c r="M46" s="241">
        <f>$J$14*('Immobilie als Kapitalanlage'!$C$85+'Immobilie als Kapitalanlage'!$C$86)</f>
        <v>12261.397866443147</v>
      </c>
      <c r="N46" s="245">
        <f>MAX((-FV('Immobilie als Kapitalanlage'!$C$88/12,(A46-$A$19)*12,(-Q46/12),$N$19,0)),0)</f>
        <v>0</v>
      </c>
      <c r="O46" s="245">
        <f t="shared" si="115"/>
        <v>10527.358339458677</v>
      </c>
      <c r="P46" s="241">
        <f t="shared" si="116"/>
        <v>0</v>
      </c>
      <c r="Q46" s="241">
        <f>$N$19*('Immobilie als Kapitalanlage'!$C$88+'Immobilie als Kapitalanlage'!$C$89)</f>
        <v>10527.358339458677</v>
      </c>
      <c r="R46" s="250">
        <f t="shared" si="6"/>
        <v>-3281.0056255931981</v>
      </c>
      <c r="S46" s="250">
        <f>'Immobilie als Kapitalanlage'!$C$27*12*(1+'Immobilie als Kapitalanlage'!$D$44)^A45</f>
        <v>-551.33867184597398</v>
      </c>
      <c r="T46" s="250">
        <f>'Immobilie als Kapitalanlage'!$C$29*12*(1+'Immobilie als Kapitalanlage'!$D$44)^A45</f>
        <v>-1918.8747892678507</v>
      </c>
      <c r="U46" s="250">
        <f>'Immobilie als Kapitalanlage'!$C$30*12*(1+'Immobilie als Kapitalanlage'!$D$44)^A45</f>
        <v>-810.79216447937358</v>
      </c>
      <c r="V46" s="250">
        <f>'Immobilie als Kapitalanlage'!$C$28*12*(1+'Immobilie als Kapitalanlage'!$D$44)^A45</f>
        <v>-1378.3466796149351</v>
      </c>
      <c r="W46" s="241">
        <f>$W$5*(1+'Immobilie als Kapitalanlage'!$D$43)^A45</f>
        <v>22972.444660248919</v>
      </c>
      <c r="X46" s="241">
        <f>$X$5*(1+'Immobilie als Kapitalanlage'!$D$43)^A45</f>
        <v>26188.586912683761</v>
      </c>
      <c r="Y46" s="241">
        <f>-'Immobilie als Kapitalanlage'!$C$25*'Immobilie als Kapitalanlage'!$D$99</f>
        <v>0</v>
      </c>
      <c r="Z46" s="241">
        <f t="shared" si="7"/>
        <v>0</v>
      </c>
      <c r="AA46" s="241">
        <f>FV((((1+'Immobilie als Kapitalanlage'!$D$80)^(1/12)-1)),A46*12,Y46/12,-'Immobilie als Kapitalanlage'!$G$95,)</f>
        <v>0</v>
      </c>
      <c r="AB46" s="241">
        <f>$AB$5*(1+'Immobilie als Kapitalanlage'!$D$51)^A45</f>
        <v>180176.03655097191</v>
      </c>
      <c r="AC46" s="241">
        <f>IF(AND(AB46&gt;Steuern!$D$6,AB46&lt;Steuern!$D$10),INT((Steuern!$H$8*(AB46-Steuern!$D$6)/10000+Steuern!$I$8)*(AB46-Steuern!$D$6)/10000),IF(AND(AB46&gt;Steuern!$F$8,AB46&lt;Steuern!$D$12),INT((Steuern!$H$10*(AB46-Steuern!$F$8)/10000+Steuern!$I$10)*(AB46-Steuern!$F$8)/10000+Steuern!$J$10),IF(AND(AB46&gt;Steuern!$F$10,AB46&lt;Steuern!$D$14),INT(AB46*Steuern!$H$12-Steuern!$I$12),IF(AB46&gt;Steuern!$F$12,INT(AB46*Steuern!$H$14-Steuern!$I$14),0))))</f>
        <v>65700</v>
      </c>
      <c r="AD46" s="241">
        <f>IF(AND(AB46/2&gt;Steuern!$D$6,AB46/2&lt;Steuern!$D$10),INT((Steuern!$H$8*(AB46/2-Steuern!$D$8)/10000+Steuern!$I$8)*(AB46/2-Steuern!$D$6)/10000),IF(AND(AB46/2&gt;Steuern!$F$8,AB46/2&lt;Steuern!$D$12),INT((Steuern!$H$10*(AB46/2-Steuern!$F$8)/10000+Steuern!$I$10)*(AB46/2-Steuern!$F$8)/10000+Steuern!$J$10),IF(AND(AB46/2&gt;Steuern!$F$10,AB46/2&lt;Steuern!$D$14),INT(AB46/2*Steuern!$H$12-Steuern!$I$12),IF(AB46/2&gt;Steuern!$F$12,INT(AB46/2*Steuern!$H$14-Steuern!$I$14),0))))*2</f>
        <v>55726</v>
      </c>
      <c r="AE46" s="241">
        <f t="shared" si="8"/>
        <v>19691.439034655719</v>
      </c>
      <c r="AF46" s="241">
        <f t="shared" si="9"/>
        <v>7430.0411682125741</v>
      </c>
      <c r="AG46" s="241">
        <f t="shared" si="10"/>
        <v>9164.0806951970444</v>
      </c>
      <c r="AH46" s="241">
        <f t="shared" si="11"/>
        <v>22907.581287090561</v>
      </c>
      <c r="AI46" s="241">
        <f t="shared" si="12"/>
        <v>10646.183420647416</v>
      </c>
      <c r="AJ46" s="241">
        <f t="shared" si="13"/>
        <v>12380.222947631886</v>
      </c>
      <c r="AK46" s="248"/>
      <c r="AL46" s="241">
        <f>('Immobilie als Kapitalanlage'!$C$16+'Immobilie als Kapitalanlage'!$C$20+'Immobilie als Kapitalanlage'!$C$15)*(1-'Immobilie als Kapitalanlage'!$D$53)</f>
        <v>190858.5</v>
      </c>
      <c r="AM46" s="241">
        <f>AL46*'Immobilie als Kapitalanlage'!$D$52</f>
        <v>3817.17</v>
      </c>
      <c r="AN46" s="241">
        <f t="shared" si="14"/>
        <v>196050.30558562762</v>
      </c>
      <c r="AO46" s="241">
        <f>IF(AND(AN46&gt;Steuern!$D$6,AN46&lt;Steuern!$D$10),INT((Steuern!H41*(AN46-Steuern!$D$8)/10000+Steuern!$I$8)*(AN46-Steuern!$D$6)/10000),IF(AND(AN46&gt;Steuern!$F$8,AN46&lt;Steuern!$D$12),INT((Steuern!$H$10*(AN46-Steuern!$F$8)/10000+Steuern!$I$10)*(AN46-Steuern!$F$8)/10000+Steuern!$J$10),IF(AND(AN46&gt;Steuern!$F$10,AN46&lt;Steuern!$D$14),INT(AN46*Steuern!$H$12-Steuern!$I$12),IF(AN46&gt;Steuern!$F$12,INT(AN46*Steuern!$H$14-Steuern!$I$14),0))))</f>
        <v>72368</v>
      </c>
      <c r="AP46" s="241">
        <f>IF(AND(AN46/2&gt;Steuern!$D$6,AN46/2&lt;Steuern!$D$10),INT((Steuern!$H$8*(AN46/2-Steuern!$D$8)/10000+Steuern!$I$8)*(AN46/2-Steuern!$D$6)/10000),IF(AND(AN46/2&gt;Steuern!$F$8,AN46/2&lt;Steuern!$D$12),INT((Steuern!$H$10*(AN46/2-Steuern!$F$8)/10000+Steuern!$I$10)*(AN46/2-Steuern!$F$8)/10000+Steuern!$J$10),IF(AND(AN46/2&gt;Steuern!$F$10,AN46/2&lt;Steuern!$D$14),INT(AN46/2*Steuern!$H$12-Steuern!$I$12),IF(AN46/2&gt;Steuern!$F$12,INT(AN46/2*Steuern!$H$14-Steuern!$I$14),0))))*2</f>
        <v>62394</v>
      </c>
      <c r="AQ46" s="241">
        <f t="shared" si="15"/>
        <v>183788.90771918447</v>
      </c>
      <c r="AR46" s="241">
        <f>IF(AND(AQ46&gt;Steuern!$D$6,AQ46&lt;Steuern!$D$10),INT((Steuern!$H$8*(AQ46-Steuern!$D$6)/10000+Steuern!$I$8)*(AQ46-Steuern!$D$6)/10000),IF(AND(AQ46&gt;Steuern!$F$8,AQ46&lt;Steuern!$D$12),INT((Steuern!$H$10*(AQ46-Steuern!$F$8)/10000+Steuern!$I$10)*(AQ46-Steuern!$F$8)/10000+Steuern!$J$10),IF(AND(AQ46&gt;Steuern!$F$10,AQ46&lt;Steuern!$D$14),INT(AQ46*Steuern!$H$12-Steuern!$I$12),IF(AQ46&gt;Steuern!$F$12,INT(AQ46*Steuern!$H$14-Steuern!$I$14),0))))</f>
        <v>67218</v>
      </c>
      <c r="AS46" s="241">
        <f t="shared" si="16"/>
        <v>185522.94724616894</v>
      </c>
      <c r="AT46" s="241">
        <f>IF(AND(AS46&gt;Steuern!$D$6,AS46&lt;Steuern!$D$10),INT((Steuern!$H$8*(AS46-Steuern!$D$6)/10000+Steuern!$I$8)*(AS46-Steuern!$D$6)/10000),IF(AND(AS46&gt;Steuern!$F$8,AS46&lt;Steuern!$D$12),INT((Steuern!$H$10*(AS46-Steuern!$F$8)/10000+Steuern!$I$10)*(AS46-Steuern!$F$8)/10000+Steuern!$J$10),IF(AND(AS46&gt;Steuern!$F$10,AS46&lt;Steuern!$D$14),INT(AS46*Steuern!$H$12-Steuern!$I$12),IF(AS46&gt;Steuern!$F$12,INT(AS46*Steuern!$H$14-Steuern!$I$14),0))))</f>
        <v>67946</v>
      </c>
      <c r="AU46" s="241">
        <f t="shared" si="17"/>
        <v>199266.44783806245</v>
      </c>
      <c r="AV46" s="241">
        <f>IF(AND(AU46&gt;Steuern!$D$6,AU46&lt;Steuern!$D$10),INT((Steuern!$H$8*(AU46-Steuern!$D$6)/10000+Steuern!$I$8)*(AU46-Steuern!$D$6)/10000),IF(AND(AU46&gt;Steuern!$F$8,AU46&lt;Steuern!$D$12),INT((Steuern!$H$10*(AU46-Steuern!$F$8)/10000+Steuern!$I$10)*(AU46-Steuern!$F$8)/10000+Steuern!$J$10),IF(AND(AU46&gt;Steuern!$F$10,AU46&lt;Steuern!$D$14),INT(AU46*Steuern!$H$12-Steuern!$I$12),IF(AU46&gt;Steuern!$F$12,INT(AU46*Steuern!$H$14-Steuern!$I$14),0))))</f>
        <v>73718</v>
      </c>
      <c r="AW46" s="241">
        <f>IF(AND(AU46/2&gt;Steuern!$D$6,AU46/2&lt;Steuern!$D$10),INT((Steuern!$H$8*(AU46/2-Steuern!$D$8)/10000+Steuern!$I$8)*(AU46/2-Steuern!$D$6)/10000),IF(AND(AU46/2&gt;Steuern!$F$8,AU46/2&lt;Steuern!$D$12),INT((Steuern!$H$10*(AU46/2-Steuern!$F$8)/10000+Steuern!$I$10)*(AU46/2-Steuern!$F$8)/10000+Steuern!$J$10),IF(AND(AU46/2&gt;Steuern!$F$10,AU46/2&lt;Steuern!$D$14),INT(AU46/2*Steuern!$H$12-Steuern!$I$12),IF(AU46/2&gt;Steuern!$F$12,INT(AU46/2*Steuern!$H$14-Steuern!$I$14),0))))*2</f>
        <v>63744</v>
      </c>
      <c r="AX46" s="241">
        <f t="shared" si="18"/>
        <v>187005.0499716193</v>
      </c>
      <c r="AY46" s="241">
        <f>IF(AND(AX46&gt;Steuern!$D$6,AX46&lt;Steuern!$D$10),INT((Steuern!N41*(AX46-Steuern!$D$8)/10000+Steuern!$I$8)*(AX46-Steuern!$D$6)/10000),IF(AND(AX46&gt;Steuern!$F$8,AX46&lt;Steuern!$D$12),INT((Steuern!$H$10*(AX46-Steuern!$F$8)/10000+Steuern!$I$10)*(AX46-Steuern!$F$8)/10000+Steuern!$J$10),IF(AND(AX46&gt;Steuern!$F$10,AX46&lt;Steuern!$D$14),INT(AX46*Steuern!$H$12-Steuern!$I$12),IF(AX46&gt;Steuern!$F$12,INT(AX46*Steuern!$H$14-Steuern!$I$14),0))))</f>
        <v>68569</v>
      </c>
      <c r="AZ46" s="241">
        <f t="shared" si="19"/>
        <v>188739.08949860377</v>
      </c>
      <c r="BA46" s="241">
        <f>IF(AND(AZ46&gt;Steuern!$D$6,AZ46&lt;Steuern!$D$10),INT((Steuern!P41*(AZ46-Steuern!$D$8)/10000+Steuern!$I$8)*(AZ46-Steuern!$D$6)/10000),IF(AND(AZ46&gt;Steuern!$F$8,AZ46&lt;Steuern!$D$12),INT((Steuern!$H$10*(AZ46-Steuern!$F$8)/10000+Steuern!$I$10)*(AZ46-Steuern!$F$8)/10000+Steuern!$J$10),IF(AND(AZ46&gt;Steuern!$F$10,AZ46&lt;Steuern!$D$14),INT(AZ46*Steuern!$H$12-Steuern!$I$12),IF(AZ46&gt;Steuern!$F$12,INT(AZ46*Steuern!$H$14-Steuern!$I$14),0))))</f>
        <v>69297</v>
      </c>
      <c r="BB46" s="241">
        <f t="shared" ref="BB46:BC46" si="169">AC46-AO46</f>
        <v>-6668</v>
      </c>
      <c r="BC46" s="241">
        <f t="shared" si="169"/>
        <v>-6668</v>
      </c>
      <c r="BD46" s="241">
        <f t="shared" si="21"/>
        <v>-1518</v>
      </c>
      <c r="BE46" s="241">
        <f t="shared" si="22"/>
        <v>-2246</v>
      </c>
      <c r="BF46" s="241">
        <f t="shared" ref="BF46:BG46" si="170">AC46-AV46</f>
        <v>-8018</v>
      </c>
      <c r="BG46" s="241">
        <f t="shared" si="170"/>
        <v>-8018</v>
      </c>
      <c r="BH46" s="241">
        <f t="shared" si="24"/>
        <v>-2869</v>
      </c>
      <c r="BI46" s="241">
        <f t="shared" si="25"/>
        <v>-3597</v>
      </c>
      <c r="BJ46" s="241">
        <f t="shared" si="26"/>
        <v>11645.092355040786</v>
      </c>
      <c r="BK46" s="241">
        <f t="shared" si="27"/>
        <v>11645.092355040786</v>
      </c>
      <c r="BL46" s="241">
        <f t="shared" si="28"/>
        <v>4533.6944885976409</v>
      </c>
      <c r="BM46" s="241">
        <f t="shared" si="29"/>
        <v>5539.7340155821094</v>
      </c>
      <c r="BN46" s="241">
        <f t="shared" si="30"/>
        <v>11645.092355040786</v>
      </c>
      <c r="BO46" s="241">
        <f t="shared" si="31"/>
        <v>-20512.090505499255</v>
      </c>
      <c r="BP46" s="241">
        <f t="shared" si="32"/>
        <v>11645.092355040786</v>
      </c>
      <c r="BQ46" s="241">
        <f t="shared" si="33"/>
        <v>-21802.090505499251</v>
      </c>
      <c r="BR46" s="241">
        <f t="shared" si="34"/>
        <v>4533.6944885976409</v>
      </c>
      <c r="BS46" s="241">
        <f t="shared" si="35"/>
        <v>-71455.021619100618</v>
      </c>
      <c r="BT46" s="241">
        <f t="shared" si="36"/>
        <v>5539.7340155821094</v>
      </c>
      <c r="BU46" s="241">
        <f t="shared" si="37"/>
        <v>-44846.96505830418</v>
      </c>
      <c r="BV46" s="241">
        <f t="shared" si="38"/>
        <v>13511.234607475628</v>
      </c>
      <c r="BW46" s="241">
        <f t="shared" si="39"/>
        <v>13511.234607475628</v>
      </c>
      <c r="BX46" s="241">
        <f t="shared" si="40"/>
        <v>6398.8367410324827</v>
      </c>
      <c r="BY46" s="241">
        <f t="shared" si="41"/>
        <v>7404.8762680169511</v>
      </c>
      <c r="BZ46" s="241">
        <f t="shared" si="42"/>
        <v>13511.234607475628</v>
      </c>
      <c r="CA46" s="241">
        <f t="shared" si="43"/>
        <v>33206.164368677928</v>
      </c>
      <c r="CB46" s="241">
        <f t="shared" si="44"/>
        <v>13511.234607475628</v>
      </c>
      <c r="CC46" s="241">
        <f t="shared" si="45"/>
        <v>33677.164368677928</v>
      </c>
      <c r="CD46" s="241">
        <f t="shared" si="46"/>
        <v>6398.8367410324827</v>
      </c>
      <c r="CE46" s="241">
        <f t="shared" si="47"/>
        <v>-17733.766744923414</v>
      </c>
      <c r="CF46" s="241">
        <f t="shared" si="48"/>
        <v>7404.8762680169511</v>
      </c>
      <c r="CG46" s="241">
        <f t="shared" si="49"/>
        <v>8874.289815872995</v>
      </c>
      <c r="CH46" s="248"/>
      <c r="CI46" s="248"/>
      <c r="CJ46" s="248"/>
      <c r="CK46" s="248"/>
      <c r="CL46" s="248"/>
      <c r="CM46" s="248"/>
      <c r="CN46" s="235">
        <f t="array" aca="1" ref="CN46" ca="1">-SUM((CN4:CN45)*(1+'Immobilie als Kapitalanlage'!$D$80)^(DAYS360($CI$4:$CI$45,$CI$45)/360))</f>
        <v>554479.09969564469</v>
      </c>
      <c r="CO46" s="248"/>
      <c r="CP46" s="248"/>
      <c r="CQ46" s="248"/>
      <c r="CR46" s="235"/>
      <c r="CS46" s="248"/>
      <c r="CT46" s="248"/>
      <c r="CU46" s="248"/>
      <c r="CV46" s="235"/>
      <c r="CW46" s="248"/>
      <c r="CX46" s="248"/>
      <c r="CY46" s="248"/>
      <c r="CZ46" s="235"/>
      <c r="DA46" s="248"/>
      <c r="DB46" s="248"/>
      <c r="DC46" s="248"/>
      <c r="DD46" s="248"/>
      <c r="DE46" s="235">
        <f t="array" aca="1" ref="DE46" ca="1">-SUM((DE4:DE45)*(1+'Immobilie als Kapitalanlage'!$D$80)^(DAYS360($CI$4:$CI$45,$CI$45)/360))</f>
        <v>377192.57828810508</v>
      </c>
      <c r="DF46" s="248"/>
      <c r="DG46" s="248"/>
      <c r="DH46" s="248"/>
      <c r="DI46" s="235"/>
      <c r="DJ46" s="248"/>
      <c r="DK46" s="248"/>
      <c r="DL46" s="248"/>
      <c r="DM46" s="235"/>
      <c r="DN46" s="248"/>
      <c r="DO46" s="248"/>
      <c r="DP46" s="248"/>
      <c r="DQ46" s="235"/>
      <c r="DR46" s="235"/>
      <c r="DS46" s="241">
        <f t="shared" si="3"/>
        <v>0</v>
      </c>
    </row>
    <row r="47" spans="1:123" ht="15.75" customHeight="1">
      <c r="A47" s="243">
        <v>43</v>
      </c>
      <c r="B47" s="244">
        <f>B46*(1+'Immobilie als Kapitalanlage'!$D$47)</f>
        <v>381960.47060133982</v>
      </c>
      <c r="C47" s="241">
        <f>$C$4*(1+'Immobilie als Kapitalanlage'!$D$47)^A47</f>
        <v>0</v>
      </c>
      <c r="D47" s="244">
        <f t="shared" si="69"/>
        <v>381960.47060133982</v>
      </c>
      <c r="E47" s="138"/>
      <c r="F47" s="245">
        <f>MAX(-FV('Immobilie als Kapitalanlage'!$D$26/12,A47*12,(-I47/12),'Immobilie als Kapitalanlage'!$C$25,0),0)</f>
        <v>0</v>
      </c>
      <c r="G47" s="245">
        <f>IF(I47-H47&gt;G46,F46*'Immobilie als Kapitalanlage'!$D$26,I47-H47)</f>
        <v>0</v>
      </c>
      <c r="H47" s="241">
        <f t="shared" si="4"/>
        <v>0</v>
      </c>
      <c r="I47" s="241">
        <f>$F$4*('Immobilie als Kapitalanlage'!$D$26+'Immobilie als Kapitalanlage'!$D$36)</f>
        <v>12450</v>
      </c>
      <c r="J47" s="245">
        <f>MAX((-FV('Immobilie als Kapitalanlage'!$C$85/12,(A47-$A$14)*12,(-M47/12),$J$14,0)),0)</f>
        <v>0</v>
      </c>
      <c r="K47" s="241">
        <f t="shared" si="98"/>
        <v>12261.397866443147</v>
      </c>
      <c r="L47" s="241">
        <f t="shared" si="99"/>
        <v>0</v>
      </c>
      <c r="M47" s="241">
        <f>$J$14*('Immobilie als Kapitalanlage'!$C$85+'Immobilie als Kapitalanlage'!$C$86)</f>
        <v>12261.397866443147</v>
      </c>
      <c r="N47" s="245">
        <f>MAX((-FV('Immobilie als Kapitalanlage'!$C$88/12,(A47-$A$19)*12,(-Q47/12),$N$19,0)),0)</f>
        <v>0</v>
      </c>
      <c r="O47" s="245">
        <f t="shared" si="115"/>
        <v>10527.358339458677</v>
      </c>
      <c r="P47" s="241">
        <f t="shared" si="116"/>
        <v>0</v>
      </c>
      <c r="Q47" s="241">
        <f>$N$19*('Immobilie als Kapitalanlage'!$C$88+'Immobilie als Kapitalanlage'!$C$89)</f>
        <v>10527.358339458677</v>
      </c>
      <c r="R47" s="250">
        <f t="shared" si="6"/>
        <v>-3346.6257381050618</v>
      </c>
      <c r="S47" s="250">
        <f>'Immobilie als Kapitalanlage'!$C$27*12*(1+'Immobilie als Kapitalanlage'!$D$44)^A46</f>
        <v>-562.36544528289346</v>
      </c>
      <c r="T47" s="250">
        <f>'Immobilie als Kapitalanlage'!$C$29*12*(1+'Immobilie als Kapitalanlage'!$D$44)^A46</f>
        <v>-1957.2522850532077</v>
      </c>
      <c r="U47" s="250">
        <f>'Immobilie als Kapitalanlage'!$C$30*12*(1+'Immobilie als Kapitalanlage'!$D$44)^A46</f>
        <v>-827.00800776896097</v>
      </c>
      <c r="V47" s="250">
        <f>'Immobilie als Kapitalanlage'!$C$28*12*(1+'Immobilie als Kapitalanlage'!$D$44)^A46</f>
        <v>-1405.9136132072338</v>
      </c>
      <c r="W47" s="241">
        <f>$W$5*(1+'Immobilie als Kapitalanlage'!$D$43)^A46</f>
        <v>23431.893553453894</v>
      </c>
      <c r="X47" s="241">
        <f>$X$5*(1+'Immobilie als Kapitalanlage'!$D$43)^A46</f>
        <v>26712.358650937436</v>
      </c>
      <c r="Y47" s="241">
        <f>-'Immobilie als Kapitalanlage'!$C$25*'Immobilie als Kapitalanlage'!$D$99</f>
        <v>0</v>
      </c>
      <c r="Z47" s="241">
        <f t="shared" si="7"/>
        <v>0</v>
      </c>
      <c r="AA47" s="241">
        <f>FV((((1+'Immobilie als Kapitalanlage'!$D$80)^(1/12)-1)),A47*12,Y47/12,-'Immobilie als Kapitalanlage'!$G$95,)</f>
        <v>0</v>
      </c>
      <c r="AB47" s="241">
        <f>$AB$5*(1+'Immobilie als Kapitalanlage'!$D$51)^A46</f>
        <v>183779.55728199132</v>
      </c>
      <c r="AC47" s="241">
        <f>IF(AND(AB47&gt;Steuern!$D$6,AB47&lt;Steuern!$D$10),INT((Steuern!$H$8*(AB47-Steuern!$D$6)/10000+Steuern!$I$8)*(AB47-Steuern!$D$6)/10000),IF(AND(AB47&gt;Steuern!$F$8,AB47&lt;Steuern!$D$12),INT((Steuern!$H$10*(AB47-Steuern!$F$8)/10000+Steuern!$I$10)*(AB47-Steuern!$F$8)/10000+Steuern!$J$10),IF(AND(AB47&gt;Steuern!$F$10,AB47&lt;Steuern!$D$14),INT(AB47*Steuern!$H$12-Steuern!$I$12),IF(AB47&gt;Steuern!$F$12,INT(AB47*Steuern!$H$14-Steuern!$I$14),0))))</f>
        <v>67214</v>
      </c>
      <c r="AD47" s="241">
        <f>IF(AND(AB47/2&gt;Steuern!$D$6,AB47/2&lt;Steuern!$D$10),INT((Steuern!$H$8*(AB47/2-Steuern!$D$8)/10000+Steuern!$I$8)*(AB47/2-Steuern!$D$6)/10000),IF(AND(AB47/2&gt;Steuern!$F$8,AB47/2&lt;Steuern!$D$12),INT((Steuern!$H$10*(AB47/2-Steuern!$F$8)/10000+Steuern!$I$10)*(AB47/2-Steuern!$F$8)/10000+Steuern!$J$10),IF(AND(AB47/2&gt;Steuern!$F$10,AB47/2&lt;Steuern!$D$14),INT(AB47/2*Steuern!$H$12-Steuern!$I$12),IF(AB47/2&gt;Steuern!$F$12,INT(AB47/2*Steuern!$H$14-Steuern!$I$14),0))))*2</f>
        <v>57240</v>
      </c>
      <c r="AE47" s="241">
        <f t="shared" si="8"/>
        <v>20085.26781534883</v>
      </c>
      <c r="AF47" s="241">
        <f t="shared" si="9"/>
        <v>7823.8699489056853</v>
      </c>
      <c r="AG47" s="241">
        <f t="shared" si="10"/>
        <v>9557.9094758901556</v>
      </c>
      <c r="AH47" s="241">
        <f t="shared" si="11"/>
        <v>23365.732912832376</v>
      </c>
      <c r="AI47" s="241">
        <f t="shared" si="12"/>
        <v>11104.335046389228</v>
      </c>
      <c r="AJ47" s="241">
        <f t="shared" si="13"/>
        <v>12838.374573373698</v>
      </c>
      <c r="AK47" s="248"/>
      <c r="AL47" s="241">
        <f>('Immobilie als Kapitalanlage'!$C$16+'Immobilie als Kapitalanlage'!$C$20+'Immobilie als Kapitalanlage'!$C$15)*(1-'Immobilie als Kapitalanlage'!$D$53)</f>
        <v>190858.5</v>
      </c>
      <c r="AM47" s="241">
        <f>AL47*'Immobilie als Kapitalanlage'!$D$52</f>
        <v>3817.17</v>
      </c>
      <c r="AN47" s="241">
        <f t="shared" si="14"/>
        <v>200047.65509734015</v>
      </c>
      <c r="AO47" s="241">
        <f>IF(AND(AN47&gt;Steuern!$D$6,AN47&lt;Steuern!$D$10),INT((Steuern!H42*(AN47-Steuern!$D$8)/10000+Steuern!$I$8)*(AN47-Steuern!$D$6)/10000),IF(AND(AN47&gt;Steuern!$F$8,AN47&lt;Steuern!$D$12),INT((Steuern!$H$10*(AN47-Steuern!$F$8)/10000+Steuern!$I$10)*(AN47-Steuern!$F$8)/10000+Steuern!$J$10),IF(AND(AN47&gt;Steuern!$F$10,AN47&lt;Steuern!$D$14),INT(AN47*Steuern!$H$12-Steuern!$I$12),IF(AN47&gt;Steuern!$F$12,INT(AN47*Steuern!$H$14-Steuern!$I$14),0))))</f>
        <v>74047</v>
      </c>
      <c r="AP47" s="241">
        <f>IF(AND(AN47/2&gt;Steuern!$D$6,AN47/2&lt;Steuern!$D$10),INT((Steuern!$H$8*(AN47/2-Steuern!$D$8)/10000+Steuern!$I$8)*(AN47/2-Steuern!$D$6)/10000),IF(AND(AN47/2&gt;Steuern!$F$8,AN47/2&lt;Steuern!$D$12),INT((Steuern!$H$10*(AN47/2-Steuern!$F$8)/10000+Steuern!$I$10)*(AN47/2-Steuern!$F$8)/10000+Steuern!$J$10),IF(AND(AN47/2&gt;Steuern!$F$10,AN47/2&lt;Steuern!$D$14),INT(AN47/2*Steuern!$H$12-Steuern!$I$12),IF(AN47/2&gt;Steuern!$F$12,INT(AN47/2*Steuern!$H$14-Steuern!$I$14),0))))*2</f>
        <v>64074</v>
      </c>
      <c r="AQ47" s="241">
        <f t="shared" si="15"/>
        <v>187786.257230897</v>
      </c>
      <c r="AR47" s="241">
        <f>IF(AND(AQ47&gt;Steuern!$D$6,AQ47&lt;Steuern!$D$10),INT((Steuern!$H$8*(AQ47-Steuern!$D$6)/10000+Steuern!$I$8)*(AQ47-Steuern!$D$6)/10000),IF(AND(AQ47&gt;Steuern!$F$8,AQ47&lt;Steuern!$D$12),INT((Steuern!$H$10*(AQ47-Steuern!$F$8)/10000+Steuern!$I$10)*(AQ47-Steuern!$F$8)/10000+Steuern!$J$10),IF(AND(AQ47&gt;Steuern!$F$10,AQ47&lt;Steuern!$D$14),INT(AQ47*Steuern!$H$12-Steuern!$I$12),IF(AQ47&gt;Steuern!$F$12,INT(AQ47*Steuern!$H$14-Steuern!$I$14),0))))</f>
        <v>68897</v>
      </c>
      <c r="AS47" s="241">
        <f t="shared" si="16"/>
        <v>189520.29675788147</v>
      </c>
      <c r="AT47" s="241">
        <f>IF(AND(AS47&gt;Steuern!$D$6,AS47&lt;Steuern!$D$10),INT((Steuern!$H$8*(AS47-Steuern!$D$6)/10000+Steuern!$I$8)*(AS47-Steuern!$D$6)/10000),IF(AND(AS47&gt;Steuern!$F$8,AS47&lt;Steuern!$D$12),INT((Steuern!$H$10*(AS47-Steuern!$F$8)/10000+Steuern!$I$10)*(AS47-Steuern!$F$8)/10000+Steuern!$J$10),IF(AND(AS47&gt;Steuern!$F$10,AS47&lt;Steuern!$D$14),INT(AS47*Steuern!$H$12-Steuern!$I$12),IF(AS47&gt;Steuern!$F$12,INT(AS47*Steuern!$H$14-Steuern!$I$14),0))))</f>
        <v>69625</v>
      </c>
      <c r="AU47" s="241">
        <f t="shared" si="17"/>
        <v>203328.12019482368</v>
      </c>
      <c r="AV47" s="241">
        <f>IF(AND(AU47&gt;Steuern!$D$6,AU47&lt;Steuern!$D$10),INT((Steuern!$H$8*(AU47-Steuern!$D$6)/10000+Steuern!$I$8)*(AU47-Steuern!$D$6)/10000),IF(AND(AU47&gt;Steuern!$F$8,AU47&lt;Steuern!$D$12),INT((Steuern!$H$10*(AU47-Steuern!$F$8)/10000+Steuern!$I$10)*(AU47-Steuern!$F$8)/10000+Steuern!$J$10),IF(AND(AU47&gt;Steuern!$F$10,AU47&lt;Steuern!$D$14),INT(AU47*Steuern!$H$12-Steuern!$I$12),IF(AU47&gt;Steuern!$F$12,INT(AU47*Steuern!$H$14-Steuern!$I$14),0))))</f>
        <v>75424</v>
      </c>
      <c r="AW47" s="241">
        <f>IF(AND(AU47/2&gt;Steuern!$D$6,AU47/2&lt;Steuern!$D$10),INT((Steuern!$H$8*(AU47/2-Steuern!$D$8)/10000+Steuern!$I$8)*(AU47/2-Steuern!$D$6)/10000),IF(AND(AU47/2&gt;Steuern!$F$8,AU47/2&lt;Steuern!$D$12),INT((Steuern!$H$10*(AU47/2-Steuern!$F$8)/10000+Steuern!$I$10)*(AU47/2-Steuern!$F$8)/10000+Steuern!$J$10),IF(AND(AU47/2&gt;Steuern!$F$10,AU47/2&lt;Steuern!$D$14),INT(AU47/2*Steuern!$H$12-Steuern!$I$12),IF(AU47/2&gt;Steuern!$F$12,INT(AU47/2*Steuern!$H$14-Steuern!$I$14),0))))*2</f>
        <v>65450</v>
      </c>
      <c r="AX47" s="241">
        <f t="shared" si="18"/>
        <v>191066.72232838054</v>
      </c>
      <c r="AY47" s="241">
        <f>IF(AND(AX47&gt;Steuern!$D$6,AX47&lt;Steuern!$D$10),INT((Steuern!N42*(AX47-Steuern!$D$8)/10000+Steuern!$I$8)*(AX47-Steuern!$D$6)/10000),IF(AND(AX47&gt;Steuern!$F$8,AX47&lt;Steuern!$D$12),INT((Steuern!$H$10*(AX47-Steuern!$F$8)/10000+Steuern!$I$10)*(AX47-Steuern!$F$8)/10000+Steuern!$J$10),IF(AND(AX47&gt;Steuern!$F$10,AX47&lt;Steuern!$D$14),INT(AX47*Steuern!$H$12-Steuern!$I$12),IF(AX47&gt;Steuern!$F$12,INT(AX47*Steuern!$H$14-Steuern!$I$14),0))))</f>
        <v>70275</v>
      </c>
      <c r="AZ47" s="241">
        <f t="shared" si="19"/>
        <v>192800.76185536501</v>
      </c>
      <c r="BA47" s="241">
        <f>IF(AND(AZ47&gt;Steuern!$D$6,AZ47&lt;Steuern!$D$10),INT((Steuern!P42*(AZ47-Steuern!$D$8)/10000+Steuern!$I$8)*(AZ47-Steuern!$D$6)/10000),IF(AND(AZ47&gt;Steuern!$F$8,AZ47&lt;Steuern!$D$12),INT((Steuern!$H$10*(AZ47-Steuern!$F$8)/10000+Steuern!$I$10)*(AZ47-Steuern!$F$8)/10000+Steuern!$J$10),IF(AND(AZ47&gt;Steuern!$F$10,AZ47&lt;Steuern!$D$14),INT(AZ47*Steuern!$H$12-Steuern!$I$12),IF(AZ47&gt;Steuern!$F$12,INT(AZ47*Steuern!$H$14-Steuern!$I$14),0))))</f>
        <v>71003</v>
      </c>
      <c r="BB47" s="241">
        <f t="shared" ref="BB47:BC47" si="171">AC47-AO47</f>
        <v>-6833</v>
      </c>
      <c r="BC47" s="241">
        <f t="shared" si="171"/>
        <v>-6834</v>
      </c>
      <c r="BD47" s="241">
        <f t="shared" si="21"/>
        <v>-1683</v>
      </c>
      <c r="BE47" s="241">
        <f t="shared" si="22"/>
        <v>-2411</v>
      </c>
      <c r="BF47" s="241">
        <f t="shared" ref="BF47:BG47" si="172">AC47-AV47</f>
        <v>-8210</v>
      </c>
      <c r="BG47" s="241">
        <f t="shared" si="172"/>
        <v>-8210</v>
      </c>
      <c r="BH47" s="241">
        <f t="shared" si="24"/>
        <v>-3061</v>
      </c>
      <c r="BI47" s="241">
        <f t="shared" si="25"/>
        <v>-3789</v>
      </c>
      <c r="BJ47" s="241">
        <f t="shared" si="26"/>
        <v>11846.3542021416</v>
      </c>
      <c r="BK47" s="241">
        <f t="shared" si="27"/>
        <v>11845.3542021416</v>
      </c>
      <c r="BL47" s="241">
        <f t="shared" si="28"/>
        <v>4734.9563356984509</v>
      </c>
      <c r="BM47" s="241">
        <f t="shared" si="29"/>
        <v>5740.9958626829211</v>
      </c>
      <c r="BN47" s="241">
        <f t="shared" si="30"/>
        <v>11846.3542021416</v>
      </c>
      <c r="BO47" s="241">
        <f t="shared" si="31"/>
        <v>-8665.7363033576548</v>
      </c>
      <c r="BP47" s="241">
        <f t="shared" si="32"/>
        <v>11845.3542021416</v>
      </c>
      <c r="BQ47" s="241">
        <f t="shared" si="33"/>
        <v>-9956.7363033576512</v>
      </c>
      <c r="BR47" s="241">
        <f t="shared" si="34"/>
        <v>4734.9563356984509</v>
      </c>
      <c r="BS47" s="241">
        <f t="shared" si="35"/>
        <v>-66720.06528340216</v>
      </c>
      <c r="BT47" s="241">
        <f t="shared" si="36"/>
        <v>5740.9958626829211</v>
      </c>
      <c r="BU47" s="241">
        <f t="shared" si="37"/>
        <v>-39105.969195621263</v>
      </c>
      <c r="BV47" s="241">
        <f t="shared" si="38"/>
        <v>13749.819299625142</v>
      </c>
      <c r="BW47" s="241">
        <f t="shared" si="39"/>
        <v>13749.819299625142</v>
      </c>
      <c r="BX47" s="241">
        <f t="shared" si="40"/>
        <v>6637.4214331819931</v>
      </c>
      <c r="BY47" s="241">
        <f t="shared" si="41"/>
        <v>7643.4609601664633</v>
      </c>
      <c r="BZ47" s="241">
        <f t="shared" si="42"/>
        <v>13749.819299625142</v>
      </c>
      <c r="CA47" s="241">
        <f t="shared" si="43"/>
        <v>46955.983668303074</v>
      </c>
      <c r="CB47" s="241">
        <f t="shared" si="44"/>
        <v>13749.819299625142</v>
      </c>
      <c r="CC47" s="241">
        <f t="shared" si="45"/>
        <v>47426.983668303074</v>
      </c>
      <c r="CD47" s="241">
        <f t="shared" si="46"/>
        <v>6637.4214331819931</v>
      </c>
      <c r="CE47" s="241">
        <f t="shared" si="47"/>
        <v>-11096.345311741421</v>
      </c>
      <c r="CF47" s="241">
        <f t="shared" si="48"/>
        <v>7643.4609601664633</v>
      </c>
      <c r="CG47" s="241">
        <f t="shared" si="49"/>
        <v>16517.750776039458</v>
      </c>
      <c r="CH47" s="248"/>
      <c r="CI47" s="248"/>
      <c r="CJ47" s="248"/>
      <c r="CK47" s="248"/>
      <c r="CL47" s="248"/>
      <c r="CM47" s="248"/>
      <c r="CN47" s="248"/>
      <c r="CO47" s="248"/>
      <c r="CP47" s="248"/>
      <c r="CQ47" s="248"/>
      <c r="CR47" s="248"/>
      <c r="CS47" s="248"/>
      <c r="CT47" s="248"/>
      <c r="CU47" s="248"/>
      <c r="CV47" s="248"/>
      <c r="CW47" s="248"/>
      <c r="CX47" s="248"/>
      <c r="CY47" s="248"/>
      <c r="CZ47" s="248"/>
      <c r="DA47" s="248"/>
      <c r="DB47" s="248"/>
      <c r="DC47" s="248"/>
      <c r="DD47" s="248"/>
      <c r="DE47" s="248"/>
      <c r="DF47" s="248"/>
      <c r="DG47" s="248"/>
      <c r="DH47" s="248"/>
      <c r="DI47" s="248"/>
      <c r="DJ47" s="248"/>
      <c r="DK47" s="248"/>
      <c r="DL47" s="248"/>
      <c r="DM47" s="248"/>
      <c r="DN47" s="248"/>
      <c r="DO47" s="248"/>
      <c r="DP47" s="248"/>
      <c r="DQ47" s="248"/>
      <c r="DR47" s="248"/>
      <c r="DS47" s="248"/>
    </row>
    <row r="48" spans="1:123" ht="15.75" customHeight="1">
      <c r="A48" s="243">
        <v>44</v>
      </c>
      <c r="B48" s="244">
        <f>B47*(1+'Immobilie als Kapitalanlage'!$D$47)</f>
        <v>385780.07530735323</v>
      </c>
      <c r="C48" s="241">
        <f>$C$4*(1+'Immobilie als Kapitalanlage'!$D$47)^A48</f>
        <v>0</v>
      </c>
      <c r="D48" s="244">
        <f t="shared" si="69"/>
        <v>385780.07530735323</v>
      </c>
      <c r="E48" s="138"/>
      <c r="F48" s="245">
        <f>MAX(-FV('Immobilie als Kapitalanlage'!$D$26/12,A48*12,(-I48/12),'Immobilie als Kapitalanlage'!$C$25,0),0)</f>
        <v>0</v>
      </c>
      <c r="G48" s="245">
        <f>IF(I48-H48&gt;G47,F47*'Immobilie als Kapitalanlage'!$D$26,I48-H48)</f>
        <v>0</v>
      </c>
      <c r="H48" s="241">
        <f t="shared" si="4"/>
        <v>0</v>
      </c>
      <c r="I48" s="241">
        <f>$F$4*('Immobilie als Kapitalanlage'!$D$26+'Immobilie als Kapitalanlage'!$D$36)</f>
        <v>12450</v>
      </c>
      <c r="J48" s="245">
        <f>MAX((-FV('Immobilie als Kapitalanlage'!$C$85/12,(A48-$A$14)*12,(-M48/12),$J$14,0)),0)</f>
        <v>0</v>
      </c>
      <c r="K48" s="241">
        <f t="shared" si="98"/>
        <v>12261.397866443147</v>
      </c>
      <c r="L48" s="241">
        <f t="shared" si="99"/>
        <v>0</v>
      </c>
      <c r="M48" s="241">
        <f>$J$14*('Immobilie als Kapitalanlage'!$C$85+'Immobilie als Kapitalanlage'!$C$86)</f>
        <v>12261.397866443147</v>
      </c>
      <c r="N48" s="245">
        <f>MAX((-FV('Immobilie als Kapitalanlage'!$C$88/12,(A48-$A$19)*12,(-Q48/12),$N$19,0)),0)</f>
        <v>0</v>
      </c>
      <c r="O48" s="245">
        <f t="shared" si="115"/>
        <v>10527.358339458677</v>
      </c>
      <c r="P48" s="241">
        <f t="shared" si="116"/>
        <v>0</v>
      </c>
      <c r="Q48" s="241">
        <f>$N$19*('Immobilie als Kapitalanlage'!$C$88+'Immobilie als Kapitalanlage'!$C$89)</f>
        <v>10527.358339458677</v>
      </c>
      <c r="R48" s="250">
        <f t="shared" si="6"/>
        <v>-3413.558252867163</v>
      </c>
      <c r="S48" s="250">
        <f>'Immobilie als Kapitalanlage'!$C$27*12*(1+'Immobilie als Kapitalanlage'!$D$44)^A47</f>
        <v>-573.61275418855121</v>
      </c>
      <c r="T48" s="250">
        <f>'Immobilie als Kapitalanlage'!$C$29*12*(1+'Immobilie als Kapitalanlage'!$D$44)^A47</f>
        <v>-1996.3973307542717</v>
      </c>
      <c r="U48" s="250">
        <f>'Immobilie als Kapitalanlage'!$C$30*12*(1+'Immobilie als Kapitalanlage'!$D$44)^A47</f>
        <v>-843.54816792434019</v>
      </c>
      <c r="V48" s="250">
        <f>'Immobilie als Kapitalanlage'!$C$28*12*(1+'Immobilie als Kapitalanlage'!$D$44)^A47</f>
        <v>-1434.0318854713782</v>
      </c>
      <c r="W48" s="241">
        <f>$W$5*(1+'Immobilie als Kapitalanlage'!$D$43)^A47</f>
        <v>23900.531424522971</v>
      </c>
      <c r="X48" s="241">
        <f>$X$5*(1+'Immobilie als Kapitalanlage'!$D$43)^A47</f>
        <v>27246.605823956183</v>
      </c>
      <c r="Y48" s="241">
        <f>-'Immobilie als Kapitalanlage'!$C$25*'Immobilie als Kapitalanlage'!$D$99</f>
        <v>0</v>
      </c>
      <c r="Z48" s="241">
        <f t="shared" si="7"/>
        <v>0</v>
      </c>
      <c r="AA48" s="241">
        <f>FV((((1+'Immobilie als Kapitalanlage'!$D$80)^(1/12)-1)),A48*12,Y48/12,-'Immobilie als Kapitalanlage'!$G$95,)</f>
        <v>0</v>
      </c>
      <c r="AB48" s="241">
        <f>$AB$5*(1+'Immobilie als Kapitalanlage'!$D$51)^A47</f>
        <v>187455.14842763115</v>
      </c>
      <c r="AC48" s="241">
        <f>IF(AND(AB48&gt;Steuern!$D$6,AB48&lt;Steuern!$D$10),INT((Steuern!$H$8*(AB48-Steuern!$D$6)/10000+Steuern!$I$8)*(AB48-Steuern!$D$6)/10000),IF(AND(AB48&gt;Steuern!$F$8,AB48&lt;Steuern!$D$12),INT((Steuern!$H$10*(AB48-Steuern!$F$8)/10000+Steuern!$I$10)*(AB48-Steuern!$F$8)/10000+Steuern!$J$10),IF(AND(AB48&gt;Steuern!$F$10,AB48&lt;Steuern!$D$14),INT(AB48*Steuern!$H$12-Steuern!$I$12),IF(AB48&gt;Steuern!$F$12,INT(AB48*Steuern!$H$14-Steuern!$I$14),0))))</f>
        <v>68758</v>
      </c>
      <c r="AD48" s="241">
        <f>IF(AND(AB48/2&gt;Steuern!$D$6,AB48/2&lt;Steuern!$D$10),INT((Steuern!$H$8*(AB48/2-Steuern!$D$8)/10000+Steuern!$I$8)*(AB48/2-Steuern!$D$6)/10000),IF(AND(AB48/2&gt;Steuern!$F$8,AB48/2&lt;Steuern!$D$12),INT((Steuern!$H$10*(AB48/2-Steuern!$F$8)/10000+Steuern!$I$10)*(AB48/2-Steuern!$F$8)/10000+Steuern!$J$10),IF(AND(AB48/2&gt;Steuern!$F$10,AB48/2&lt;Steuern!$D$14),INT(AB48/2*Steuern!$H$12-Steuern!$I$12),IF(AB48/2&gt;Steuern!$F$12,INT(AB48/2*Steuern!$H$14-Steuern!$I$14),0))))*2</f>
        <v>58784</v>
      </c>
      <c r="AE48" s="241">
        <f t="shared" si="8"/>
        <v>20486.973171655809</v>
      </c>
      <c r="AF48" s="241">
        <f t="shared" si="9"/>
        <v>8225.5753052126602</v>
      </c>
      <c r="AG48" s="241">
        <f t="shared" si="10"/>
        <v>9959.6148321971305</v>
      </c>
      <c r="AH48" s="241">
        <f t="shared" si="11"/>
        <v>23833.04757108902</v>
      </c>
      <c r="AI48" s="241">
        <f t="shared" si="12"/>
        <v>11571.649704645872</v>
      </c>
      <c r="AJ48" s="241">
        <f t="shared" si="13"/>
        <v>13305.689231630342</v>
      </c>
      <c r="AK48" s="248"/>
      <c r="AL48" s="241">
        <f>('Immobilie als Kapitalanlage'!$C$16+'Immobilie als Kapitalanlage'!$C$20+'Immobilie als Kapitalanlage'!$C$15)*(1-'Immobilie als Kapitalanlage'!$D$53)</f>
        <v>190858.5</v>
      </c>
      <c r="AM48" s="241">
        <f>AL48*'Immobilie als Kapitalanlage'!$D$52</f>
        <v>3817.17</v>
      </c>
      <c r="AN48" s="241">
        <f t="shared" si="14"/>
        <v>204124.95159928696</v>
      </c>
      <c r="AO48" s="241">
        <f>IF(AND(AN48&gt;Steuern!$D$6,AN48&lt;Steuern!$D$10),INT((Steuern!H43*(AN48-Steuern!$D$8)/10000+Steuern!$I$8)*(AN48-Steuern!$D$6)/10000),IF(AND(AN48&gt;Steuern!$F$8,AN48&lt;Steuern!$D$12),INT((Steuern!$H$10*(AN48-Steuern!$F$8)/10000+Steuern!$I$10)*(AN48-Steuern!$F$8)/10000+Steuern!$J$10),IF(AND(AN48&gt;Steuern!$F$10,AN48&lt;Steuern!$D$14),INT(AN48*Steuern!$H$12-Steuern!$I$12),IF(AN48&gt;Steuern!$F$12,INT(AN48*Steuern!$H$14-Steuern!$I$14),0))))</f>
        <v>75759</v>
      </c>
      <c r="AP48" s="241">
        <f>IF(AND(AN48/2&gt;Steuern!$D$6,AN48/2&lt;Steuern!$D$10),INT((Steuern!$H$8*(AN48/2-Steuern!$D$8)/10000+Steuern!$I$8)*(AN48/2-Steuern!$D$6)/10000),IF(AND(AN48/2&gt;Steuern!$F$8,AN48/2&lt;Steuern!$D$12),INT((Steuern!$H$10*(AN48/2-Steuern!$F$8)/10000+Steuern!$I$10)*(AN48/2-Steuern!$F$8)/10000+Steuern!$J$10),IF(AND(AN48/2&gt;Steuern!$F$10,AN48/2&lt;Steuern!$D$14),INT(AN48/2*Steuern!$H$12-Steuern!$I$12),IF(AN48/2&gt;Steuern!$F$12,INT(AN48/2*Steuern!$H$14-Steuern!$I$14),0))))*2</f>
        <v>65786</v>
      </c>
      <c r="AQ48" s="241">
        <f t="shared" si="15"/>
        <v>191863.55373284381</v>
      </c>
      <c r="AR48" s="241">
        <f>IF(AND(AQ48&gt;Steuern!$D$6,AQ48&lt;Steuern!$D$10),INT((Steuern!$H$8*(AQ48-Steuern!$D$6)/10000+Steuern!$I$8)*(AQ48-Steuern!$D$6)/10000),IF(AND(AQ48&gt;Steuern!$F$8,AQ48&lt;Steuern!$D$12),INT((Steuern!$H$10*(AQ48-Steuern!$F$8)/10000+Steuern!$I$10)*(AQ48-Steuern!$F$8)/10000+Steuern!$J$10),IF(AND(AQ48&gt;Steuern!$F$10,AQ48&lt;Steuern!$D$14),INT(AQ48*Steuern!$H$12-Steuern!$I$12),IF(AQ48&gt;Steuern!$F$12,INT(AQ48*Steuern!$H$14-Steuern!$I$14),0))))</f>
        <v>70609</v>
      </c>
      <c r="AS48" s="241">
        <f t="shared" si="16"/>
        <v>193597.59325982828</v>
      </c>
      <c r="AT48" s="241">
        <f>IF(AND(AS48&gt;Steuern!$D$6,AS48&lt;Steuern!$D$10),INT((Steuern!$H$8*(AS48-Steuern!$D$6)/10000+Steuern!$I$8)*(AS48-Steuern!$D$6)/10000),IF(AND(AS48&gt;Steuern!$F$8,AS48&lt;Steuern!$D$12),INT((Steuern!$H$10*(AS48-Steuern!$F$8)/10000+Steuern!$I$10)*(AS48-Steuern!$F$8)/10000+Steuern!$J$10),IF(AND(AS48&gt;Steuern!$F$10,AS48&lt;Steuern!$D$14),INT(AS48*Steuern!$H$12-Steuern!$I$12),IF(AS48&gt;Steuern!$F$12,INT(AS48*Steuern!$H$14-Steuern!$I$14),0))))</f>
        <v>71338</v>
      </c>
      <c r="AU48" s="241">
        <f t="shared" si="17"/>
        <v>207471.02599872017</v>
      </c>
      <c r="AV48" s="241">
        <f>IF(AND(AU48&gt;Steuern!$D$6,AU48&lt;Steuern!$D$10),INT((Steuern!$H$8*(AU48-Steuern!$D$6)/10000+Steuern!$I$8)*(AU48-Steuern!$D$6)/10000),IF(AND(AU48&gt;Steuern!$F$8,AU48&lt;Steuern!$D$12),INT((Steuern!$H$10*(AU48-Steuern!$F$8)/10000+Steuern!$I$10)*(AU48-Steuern!$F$8)/10000+Steuern!$J$10),IF(AND(AU48&gt;Steuern!$F$10,AU48&lt;Steuern!$D$14),INT(AU48*Steuern!$H$12-Steuern!$I$12),IF(AU48&gt;Steuern!$F$12,INT(AU48*Steuern!$H$14-Steuern!$I$14),0))))</f>
        <v>77164</v>
      </c>
      <c r="AW48" s="241">
        <f>IF(AND(AU48/2&gt;Steuern!$D$6,AU48/2&lt;Steuern!$D$10),INT((Steuern!$H$8*(AU48/2-Steuern!$D$8)/10000+Steuern!$I$8)*(AU48/2-Steuern!$D$6)/10000),IF(AND(AU48/2&gt;Steuern!$F$8,AU48/2&lt;Steuern!$D$12),INT((Steuern!$H$10*(AU48/2-Steuern!$F$8)/10000+Steuern!$I$10)*(AU48/2-Steuern!$F$8)/10000+Steuern!$J$10),IF(AND(AU48/2&gt;Steuern!$F$10,AU48/2&lt;Steuern!$D$14),INT(AU48/2*Steuern!$H$12-Steuern!$I$12),IF(AU48/2&gt;Steuern!$F$12,INT(AU48/2*Steuern!$H$14-Steuern!$I$14),0))))*2</f>
        <v>67190</v>
      </c>
      <c r="AX48" s="241">
        <f t="shared" si="18"/>
        <v>195209.62813227702</v>
      </c>
      <c r="AY48" s="241">
        <f>IF(AND(AX48&gt;Steuern!$D$6,AX48&lt;Steuern!$D$10),INT((Steuern!N43*(AX48-Steuern!$D$8)/10000+Steuern!$I$8)*(AX48-Steuern!$D$6)/10000),IF(AND(AX48&gt;Steuern!$F$8,AX48&lt;Steuern!$D$12),INT((Steuern!$H$10*(AX48-Steuern!$F$8)/10000+Steuern!$I$10)*(AX48-Steuern!$F$8)/10000+Steuern!$J$10),IF(AND(AX48&gt;Steuern!$F$10,AX48&lt;Steuern!$D$14),INT(AX48*Steuern!$H$12-Steuern!$I$12),IF(AX48&gt;Steuern!$F$12,INT(AX48*Steuern!$H$14-Steuern!$I$14),0))))</f>
        <v>72015</v>
      </c>
      <c r="AZ48" s="241">
        <f t="shared" si="19"/>
        <v>196943.66765926147</v>
      </c>
      <c r="BA48" s="241">
        <f>IF(AND(AZ48&gt;Steuern!$D$6,AZ48&lt;Steuern!$D$10),INT((Steuern!P43*(AZ48-Steuern!$D$8)/10000+Steuern!$I$8)*(AZ48-Steuern!$D$6)/10000),IF(AND(AZ48&gt;Steuern!$F$8,AZ48&lt;Steuern!$D$12),INT((Steuern!$H$10*(AZ48-Steuern!$F$8)/10000+Steuern!$I$10)*(AZ48-Steuern!$F$8)/10000+Steuern!$J$10),IF(AND(AZ48&gt;Steuern!$F$10,AZ48&lt;Steuern!$D$14),INT(AZ48*Steuern!$H$12-Steuern!$I$12),IF(AZ48&gt;Steuern!$F$12,INT(AZ48*Steuern!$H$14-Steuern!$I$14),0))))</f>
        <v>72743</v>
      </c>
      <c r="BB48" s="241">
        <f t="shared" ref="BB48:BC48" si="173">AC48-AO48</f>
        <v>-7001</v>
      </c>
      <c r="BC48" s="241">
        <f t="shared" si="173"/>
        <v>-7002</v>
      </c>
      <c r="BD48" s="241">
        <f t="shared" si="21"/>
        <v>-1851</v>
      </c>
      <c r="BE48" s="241">
        <f t="shared" si="22"/>
        <v>-2580</v>
      </c>
      <c r="BF48" s="241">
        <f t="shared" ref="BF48:BG48" si="174">AC48-AV48</f>
        <v>-8406</v>
      </c>
      <c r="BG48" s="241">
        <f t="shared" si="174"/>
        <v>-8406</v>
      </c>
      <c r="BH48" s="241">
        <f t="shared" si="24"/>
        <v>-3257</v>
      </c>
      <c r="BI48" s="241">
        <f t="shared" si="25"/>
        <v>-3985</v>
      </c>
      <c r="BJ48" s="241">
        <f t="shared" si="26"/>
        <v>12051.941286184432</v>
      </c>
      <c r="BK48" s="241">
        <f t="shared" si="27"/>
        <v>12050.941286184432</v>
      </c>
      <c r="BL48" s="241">
        <f t="shared" si="28"/>
        <v>4940.5434197412833</v>
      </c>
      <c r="BM48" s="241">
        <f t="shared" si="29"/>
        <v>5945.5829467257518</v>
      </c>
      <c r="BN48" s="241">
        <f t="shared" si="30"/>
        <v>12051.941286184432</v>
      </c>
      <c r="BO48" s="241">
        <f t="shared" si="31"/>
        <v>3386.2049828267773</v>
      </c>
      <c r="BP48" s="241">
        <f t="shared" si="32"/>
        <v>12050.941286184432</v>
      </c>
      <c r="BQ48" s="241">
        <f t="shared" si="33"/>
        <v>2094.2049828267809</v>
      </c>
      <c r="BR48" s="241">
        <f t="shared" si="34"/>
        <v>4940.5434197412833</v>
      </c>
      <c r="BS48" s="241">
        <f t="shared" si="35"/>
        <v>-61779.521863660877</v>
      </c>
      <c r="BT48" s="241">
        <f t="shared" si="36"/>
        <v>5945.5829467257518</v>
      </c>
      <c r="BU48" s="241">
        <f t="shared" si="37"/>
        <v>-33160.386248895513</v>
      </c>
      <c r="BV48" s="241">
        <f t="shared" si="38"/>
        <v>13993.01568561764</v>
      </c>
      <c r="BW48" s="241">
        <f t="shared" si="39"/>
        <v>13993.01568561764</v>
      </c>
      <c r="BX48" s="241">
        <f t="shared" si="40"/>
        <v>6880.6178191744948</v>
      </c>
      <c r="BY48" s="241">
        <f t="shared" si="41"/>
        <v>7886.6573461589633</v>
      </c>
      <c r="BZ48" s="241">
        <f t="shared" si="42"/>
        <v>13993.01568561764</v>
      </c>
      <c r="CA48" s="241">
        <f t="shared" si="43"/>
        <v>60948.999353920713</v>
      </c>
      <c r="CB48" s="241">
        <f t="shared" si="44"/>
        <v>13993.01568561764</v>
      </c>
      <c r="CC48" s="241">
        <f t="shared" si="45"/>
        <v>61419.999353920713</v>
      </c>
      <c r="CD48" s="241">
        <f t="shared" si="46"/>
        <v>6880.6178191744948</v>
      </c>
      <c r="CE48" s="241">
        <f t="shared" si="47"/>
        <v>-4215.7274925669262</v>
      </c>
      <c r="CF48" s="241">
        <f t="shared" si="48"/>
        <v>7886.6573461589633</v>
      </c>
      <c r="CG48" s="241">
        <f t="shared" si="49"/>
        <v>24404.408122198423</v>
      </c>
      <c r="CH48" s="248"/>
      <c r="CI48" s="248"/>
      <c r="CJ48" s="248"/>
      <c r="CK48" s="248"/>
      <c r="CL48" s="248"/>
      <c r="CM48" s="248"/>
      <c r="CN48" s="248"/>
      <c r="CO48" s="248"/>
      <c r="CP48" s="248"/>
      <c r="CQ48" s="248"/>
      <c r="CR48" s="248"/>
      <c r="CS48" s="248"/>
      <c r="CT48" s="248"/>
      <c r="CU48" s="248"/>
      <c r="CV48" s="248"/>
      <c r="CW48" s="248"/>
      <c r="CX48" s="248"/>
      <c r="CY48" s="248"/>
      <c r="CZ48" s="248"/>
      <c r="DA48" s="248"/>
      <c r="DB48" s="248"/>
      <c r="DC48" s="248"/>
      <c r="DD48" s="248"/>
      <c r="DE48" s="248"/>
      <c r="DF48" s="248"/>
      <c r="DG48" s="248"/>
      <c r="DH48" s="248"/>
      <c r="DI48" s="248"/>
      <c r="DJ48" s="248"/>
      <c r="DK48" s="248"/>
      <c r="DL48" s="248"/>
      <c r="DM48" s="248"/>
      <c r="DN48" s="248"/>
      <c r="DO48" s="248"/>
      <c r="DP48" s="248"/>
      <c r="DQ48" s="248"/>
      <c r="DR48" s="248"/>
      <c r="DS48" s="248"/>
    </row>
    <row r="49" spans="1:121" ht="15.75" customHeight="1">
      <c r="A49" s="243">
        <v>45</v>
      </c>
      <c r="B49" s="244">
        <f>B48*(1+'Immobilie als Kapitalanlage'!$D$47)</f>
        <v>389637.87606042676</v>
      </c>
      <c r="C49" s="241">
        <f>$C$4*(1+'Immobilie als Kapitalanlage'!$D$47)^A49</f>
        <v>0</v>
      </c>
      <c r="D49" s="244">
        <f t="shared" si="69"/>
        <v>389637.87606042676</v>
      </c>
      <c r="E49" s="138"/>
      <c r="F49" s="245">
        <f>MAX(-FV('Immobilie als Kapitalanlage'!$D$26/12,A49*12,(-I49/12),'Immobilie als Kapitalanlage'!$C$25,0),0)</f>
        <v>0</v>
      </c>
      <c r="G49" s="245">
        <f>IF(I49-H49&gt;G48,F48*'Immobilie als Kapitalanlage'!$D$26,I49-H49)</f>
        <v>0</v>
      </c>
      <c r="H49" s="241">
        <f t="shared" si="4"/>
        <v>0</v>
      </c>
      <c r="I49" s="241">
        <f>$F$4*('Immobilie als Kapitalanlage'!$D$26+'Immobilie als Kapitalanlage'!$D$36)</f>
        <v>12450</v>
      </c>
      <c r="J49" s="245">
        <f>MAX((-FV('Immobilie als Kapitalanlage'!$C$85/12,(A49-$A$14)*12,(-M49/12),$J$14,0)),0)</f>
        <v>0</v>
      </c>
      <c r="K49" s="241">
        <f t="shared" si="98"/>
        <v>12261.397866443147</v>
      </c>
      <c r="L49" s="241">
        <f t="shared" si="99"/>
        <v>0</v>
      </c>
      <c r="M49" s="241">
        <f>$J$14*('Immobilie als Kapitalanlage'!$C$85+'Immobilie als Kapitalanlage'!$C$86)</f>
        <v>12261.397866443147</v>
      </c>
      <c r="N49" s="245">
        <f>MAX((-FV('Immobilie als Kapitalanlage'!$C$88/12,(A49-$A$19)*12,(-Q49/12),$N$19,0)),0)</f>
        <v>0</v>
      </c>
      <c r="O49" s="245">
        <f t="shared" si="115"/>
        <v>10527.358339458677</v>
      </c>
      <c r="P49" s="241">
        <f t="shared" si="116"/>
        <v>0</v>
      </c>
      <c r="Q49" s="241">
        <f>$N$19*('Immobilie als Kapitalanlage'!$C$88+'Immobilie als Kapitalanlage'!$C$89)</f>
        <v>10527.358339458677</v>
      </c>
      <c r="R49" s="250">
        <f t="shared" si="6"/>
        <v>-3481.8294179245067</v>
      </c>
      <c r="S49" s="250">
        <f>'Immobilie als Kapitalanlage'!$C$27*12*(1+'Immobilie als Kapitalanlage'!$D$44)^A48</f>
        <v>-585.0850092723224</v>
      </c>
      <c r="T49" s="250">
        <f>'Immobilie als Kapitalanlage'!$C$29*12*(1+'Immobilie als Kapitalanlage'!$D$44)^A48</f>
        <v>-2036.3252773693575</v>
      </c>
      <c r="U49" s="250">
        <f>'Immobilie als Kapitalanlage'!$C$30*12*(1+'Immobilie als Kapitalanlage'!$D$44)^A48</f>
        <v>-860.41913128282715</v>
      </c>
      <c r="V49" s="250">
        <f>'Immobilie als Kapitalanlage'!$C$28*12*(1+'Immobilie als Kapitalanlage'!$D$44)^A48</f>
        <v>-1462.7125231808061</v>
      </c>
      <c r="W49" s="241">
        <f>$W$5*(1+'Immobilie als Kapitalanlage'!$D$43)^A48</f>
        <v>24378.542053013436</v>
      </c>
      <c r="X49" s="241">
        <f>$X$5*(1+'Immobilie als Kapitalanlage'!$D$43)^A48</f>
        <v>27791.537940435312</v>
      </c>
      <c r="Y49" s="241">
        <f>-'Immobilie als Kapitalanlage'!$C$25*'Immobilie als Kapitalanlage'!$D$99</f>
        <v>0</v>
      </c>
      <c r="Z49" s="241">
        <f t="shared" si="7"/>
        <v>0</v>
      </c>
      <c r="AA49" s="241">
        <f>FV((((1+'Immobilie als Kapitalanlage'!$D$80)^(1/12)-1)),A49*12,Y49/12,-'Immobilie als Kapitalanlage'!$G$95,)</f>
        <v>0</v>
      </c>
      <c r="AB49" s="241">
        <f>$AB$5*(1+'Immobilie als Kapitalanlage'!$D$51)^A48</f>
        <v>191204.2513961838</v>
      </c>
      <c r="AC49" s="241">
        <f>IF(AND(AB49&gt;Steuern!$D$6,AB49&lt;Steuern!$D$10),INT((Steuern!$H$8*(AB49-Steuern!$D$6)/10000+Steuern!$I$8)*(AB49-Steuern!$D$6)/10000),IF(AND(AB49&gt;Steuern!$F$8,AB49&lt;Steuern!$D$12),INT((Steuern!$H$10*(AB49-Steuern!$F$8)/10000+Steuern!$I$10)*(AB49-Steuern!$F$8)/10000+Steuern!$J$10),IF(AND(AB49&gt;Steuern!$F$10,AB49&lt;Steuern!$D$14),INT(AB49*Steuern!$H$12-Steuern!$I$12),IF(AB49&gt;Steuern!$F$12,INT(AB49*Steuern!$H$14-Steuern!$I$14),0))))</f>
        <v>70332</v>
      </c>
      <c r="AD49" s="241">
        <f>IF(AND(AB49/2&gt;Steuern!$D$6,AB49/2&lt;Steuern!$D$10),INT((Steuern!$H$8*(AB49/2-Steuern!$D$8)/10000+Steuern!$I$8)*(AB49/2-Steuern!$D$6)/10000),IF(AND(AB49/2&gt;Steuern!$F$8,AB49/2&lt;Steuern!$D$12),INT((Steuern!$H$10*(AB49/2-Steuern!$F$8)/10000+Steuern!$I$10)*(AB49/2-Steuern!$F$8)/10000+Steuern!$J$10),IF(AND(AB49/2&gt;Steuern!$F$10,AB49/2&lt;Steuern!$D$14),INT(AB49/2*Steuern!$H$12-Steuern!$I$12),IF(AB49/2&gt;Steuern!$F$12,INT(AB49/2*Steuern!$H$14-Steuern!$I$14),0))))*2</f>
        <v>60358</v>
      </c>
      <c r="AE49" s="241">
        <f t="shared" si="8"/>
        <v>20896.71263508893</v>
      </c>
      <c r="AF49" s="241">
        <f t="shared" si="9"/>
        <v>8635.3147686457814</v>
      </c>
      <c r="AG49" s="241">
        <f t="shared" si="10"/>
        <v>10369.354295630252</v>
      </c>
      <c r="AH49" s="241">
        <f t="shared" si="11"/>
        <v>24309.708522510806</v>
      </c>
      <c r="AI49" s="241">
        <f t="shared" si="12"/>
        <v>12048.310656067657</v>
      </c>
      <c r="AJ49" s="241">
        <f t="shared" si="13"/>
        <v>13782.350183052127</v>
      </c>
      <c r="AK49" s="248"/>
      <c r="AL49" s="241">
        <f>('Immobilie als Kapitalanlage'!$C$16+'Immobilie als Kapitalanlage'!$C$20+'Immobilie als Kapitalanlage'!$C$15)*(1-'Immobilie als Kapitalanlage'!$D$53)</f>
        <v>190858.5</v>
      </c>
      <c r="AM49" s="241">
        <f>AL49*'Immobilie als Kapitalanlage'!$D$52</f>
        <v>3817.17</v>
      </c>
      <c r="AN49" s="241">
        <f t="shared" si="14"/>
        <v>208283.79403127273</v>
      </c>
      <c r="AO49" s="241">
        <f>IF(AND(AN49&gt;Steuern!$D$6,AN49&lt;Steuern!$D$10),INT((Steuern!H44*(AN49-Steuern!$D$8)/10000+Steuern!$I$8)*(AN49-Steuern!$D$6)/10000),IF(AND(AN49&gt;Steuern!$F$8,AN49&lt;Steuern!$D$12),INT((Steuern!$H$10*(AN49-Steuern!$F$8)/10000+Steuern!$I$10)*(AN49-Steuern!$F$8)/10000+Steuern!$J$10),IF(AND(AN49&gt;Steuern!$F$10,AN49&lt;Steuern!$D$14),INT(AN49*Steuern!$H$12-Steuern!$I$12),IF(AN49&gt;Steuern!$F$12,INT(AN49*Steuern!$H$14-Steuern!$I$14),0))))</f>
        <v>77506</v>
      </c>
      <c r="AP49" s="241">
        <f>IF(AND(AN49/2&gt;Steuern!$D$6,AN49/2&lt;Steuern!$D$10),INT((Steuern!$H$8*(AN49/2-Steuern!$D$8)/10000+Steuern!$I$8)*(AN49/2-Steuern!$D$6)/10000),IF(AND(AN49/2&gt;Steuern!$F$8,AN49/2&lt;Steuern!$D$12),INT((Steuern!$H$10*(AN49/2-Steuern!$F$8)/10000+Steuern!$I$10)*(AN49/2-Steuern!$F$8)/10000+Steuern!$J$10),IF(AND(AN49/2&gt;Steuern!$F$10,AN49/2&lt;Steuern!$D$14),INT(AN49/2*Steuern!$H$12-Steuern!$I$12),IF(AN49/2&gt;Steuern!$F$12,INT(AN49/2*Steuern!$H$14-Steuern!$I$14),0))))*2</f>
        <v>67532</v>
      </c>
      <c r="AQ49" s="241">
        <f t="shared" si="15"/>
        <v>196022.39616482958</v>
      </c>
      <c r="AR49" s="241">
        <f>IF(AND(AQ49&gt;Steuern!$D$6,AQ49&lt;Steuern!$D$10),INT((Steuern!$H$8*(AQ49-Steuern!$D$6)/10000+Steuern!$I$8)*(AQ49-Steuern!$D$6)/10000),IF(AND(AQ49&gt;Steuern!$F$8,AQ49&lt;Steuern!$D$12),INT((Steuern!$H$10*(AQ49-Steuern!$F$8)/10000+Steuern!$I$10)*(AQ49-Steuern!$F$8)/10000+Steuern!$J$10),IF(AND(AQ49&gt;Steuern!$F$10,AQ49&lt;Steuern!$D$14),INT(AQ49*Steuern!$H$12-Steuern!$I$12),IF(AQ49&gt;Steuern!$F$12,INT(AQ49*Steuern!$H$14-Steuern!$I$14),0))))</f>
        <v>72356</v>
      </c>
      <c r="AS49" s="241">
        <f t="shared" si="16"/>
        <v>197756.43569181403</v>
      </c>
      <c r="AT49" s="241">
        <f>IF(AND(AS49&gt;Steuern!$D$6,AS49&lt;Steuern!$D$10),INT((Steuern!$H$8*(AS49-Steuern!$D$6)/10000+Steuern!$I$8)*(AS49-Steuern!$D$6)/10000),IF(AND(AS49&gt;Steuern!$F$8,AS49&lt;Steuern!$D$12),INT((Steuern!$H$10*(AS49-Steuern!$F$8)/10000+Steuern!$I$10)*(AS49-Steuern!$F$8)/10000+Steuern!$J$10),IF(AND(AS49&gt;Steuern!$F$10,AS49&lt;Steuern!$D$14),INT(AS49*Steuern!$H$12-Steuern!$I$12),IF(AS49&gt;Steuern!$F$12,INT(AS49*Steuern!$H$14-Steuern!$I$14),0))))</f>
        <v>73084</v>
      </c>
      <c r="AU49" s="241">
        <f t="shared" si="17"/>
        <v>211696.78991869459</v>
      </c>
      <c r="AV49" s="241">
        <f>IF(AND(AU49&gt;Steuern!$D$6,AU49&lt;Steuern!$D$10),INT((Steuern!$H$8*(AU49-Steuern!$D$6)/10000+Steuern!$I$8)*(AU49-Steuern!$D$6)/10000),IF(AND(AU49&gt;Steuern!$F$8,AU49&lt;Steuern!$D$12),INT((Steuern!$H$10*(AU49-Steuern!$F$8)/10000+Steuern!$I$10)*(AU49-Steuern!$F$8)/10000+Steuern!$J$10),IF(AND(AU49&gt;Steuern!$F$10,AU49&lt;Steuern!$D$14),INT(AU49*Steuern!$H$12-Steuern!$I$12),IF(AU49&gt;Steuern!$F$12,INT(AU49*Steuern!$H$14-Steuern!$I$14),0))))</f>
        <v>78939</v>
      </c>
      <c r="AW49" s="241">
        <f>IF(AND(AU49/2&gt;Steuern!$D$6,AU49/2&lt;Steuern!$D$10),INT((Steuern!$H$8*(AU49/2-Steuern!$D$8)/10000+Steuern!$I$8)*(AU49/2-Steuern!$D$6)/10000),IF(AND(AU49/2&gt;Steuern!$F$8,AU49/2&lt;Steuern!$D$12),INT((Steuern!$H$10*(AU49/2-Steuern!$F$8)/10000+Steuern!$I$10)*(AU49/2-Steuern!$F$8)/10000+Steuern!$J$10),IF(AND(AU49/2&gt;Steuern!$F$10,AU49/2&lt;Steuern!$D$14),INT(AU49/2*Steuern!$H$12-Steuern!$I$12),IF(AU49/2&gt;Steuern!$F$12,INT(AU49/2*Steuern!$H$14-Steuern!$I$14),0))))*2</f>
        <v>68966</v>
      </c>
      <c r="AX49" s="241">
        <f t="shared" si="18"/>
        <v>199435.39205225144</v>
      </c>
      <c r="AY49" s="241">
        <f>IF(AND(AX49&gt;Steuern!$D$6,AX49&lt;Steuern!$D$10),INT((Steuern!N44*(AX49-Steuern!$D$8)/10000+Steuern!$I$8)*(AX49-Steuern!$D$6)/10000),IF(AND(AX49&gt;Steuern!$F$8,AX49&lt;Steuern!$D$12),INT((Steuern!$H$10*(AX49-Steuern!$F$8)/10000+Steuern!$I$10)*(AX49-Steuern!$F$8)/10000+Steuern!$J$10),IF(AND(AX49&gt;Steuern!$F$10,AX49&lt;Steuern!$D$14),INT(AX49*Steuern!$H$12-Steuern!$I$12),IF(AX49&gt;Steuern!$F$12,INT(AX49*Steuern!$H$14-Steuern!$I$14),0))))</f>
        <v>73789</v>
      </c>
      <c r="AZ49" s="241">
        <f t="shared" si="19"/>
        <v>201169.43157923591</v>
      </c>
      <c r="BA49" s="241">
        <f>IF(AND(AZ49&gt;Steuern!$D$6,AZ49&lt;Steuern!$D$10),INT((Steuern!P44*(AZ49-Steuern!$D$8)/10000+Steuern!$I$8)*(AZ49-Steuern!$D$6)/10000),IF(AND(AZ49&gt;Steuern!$F$8,AZ49&lt;Steuern!$D$12),INT((Steuern!$H$10*(AZ49-Steuern!$F$8)/10000+Steuern!$I$10)*(AZ49-Steuern!$F$8)/10000+Steuern!$J$10),IF(AND(AZ49&gt;Steuern!$F$10,AZ49&lt;Steuern!$D$14),INT(AZ49*Steuern!$H$12-Steuern!$I$12),IF(AZ49&gt;Steuern!$F$12,INT(AZ49*Steuern!$H$14-Steuern!$I$14),0))))</f>
        <v>74518</v>
      </c>
      <c r="BB49" s="241">
        <f t="shared" ref="BB49:BC49" si="175">AC49-AO49</f>
        <v>-7174</v>
      </c>
      <c r="BC49" s="241">
        <f t="shared" si="175"/>
        <v>-7174</v>
      </c>
      <c r="BD49" s="241">
        <f t="shared" si="21"/>
        <v>-2024</v>
      </c>
      <c r="BE49" s="241">
        <f t="shared" si="22"/>
        <v>-2752</v>
      </c>
      <c r="BF49" s="241">
        <f t="shared" ref="BF49:BG49" si="176">AC49-AV49</f>
        <v>-8607</v>
      </c>
      <c r="BG49" s="241">
        <f t="shared" si="176"/>
        <v>-8608</v>
      </c>
      <c r="BH49" s="241">
        <f t="shared" si="24"/>
        <v>-3457</v>
      </c>
      <c r="BI49" s="241">
        <f t="shared" si="25"/>
        <v>-4186</v>
      </c>
      <c r="BJ49" s="241">
        <f t="shared" si="26"/>
        <v>12260.000111908124</v>
      </c>
      <c r="BK49" s="241">
        <f t="shared" si="27"/>
        <v>12260.000111908124</v>
      </c>
      <c r="BL49" s="241">
        <f t="shared" si="28"/>
        <v>5148.6022454649756</v>
      </c>
      <c r="BM49" s="241">
        <f t="shared" si="29"/>
        <v>6154.6417724494459</v>
      </c>
      <c r="BN49" s="241">
        <f t="shared" si="30"/>
        <v>12260.000111908124</v>
      </c>
      <c r="BO49" s="241">
        <f t="shared" si="31"/>
        <v>15646.205094734902</v>
      </c>
      <c r="BP49" s="241">
        <f t="shared" si="32"/>
        <v>12260.000111908124</v>
      </c>
      <c r="BQ49" s="241">
        <f t="shared" si="33"/>
        <v>14354.205094734905</v>
      </c>
      <c r="BR49" s="241">
        <f t="shared" si="34"/>
        <v>5148.6022454649756</v>
      </c>
      <c r="BS49" s="241">
        <f t="shared" si="35"/>
        <v>-56630.919618195898</v>
      </c>
      <c r="BT49" s="241">
        <f t="shared" si="36"/>
        <v>6154.6417724494459</v>
      </c>
      <c r="BU49" s="241">
        <f t="shared" si="37"/>
        <v>-27005.744476446067</v>
      </c>
      <c r="BV49" s="241">
        <f t="shared" si="38"/>
        <v>14239.99599933</v>
      </c>
      <c r="BW49" s="241">
        <f t="shared" si="39"/>
        <v>14238.99599933</v>
      </c>
      <c r="BX49" s="241">
        <f t="shared" si="40"/>
        <v>7128.5981328868511</v>
      </c>
      <c r="BY49" s="241">
        <f t="shared" si="41"/>
        <v>8133.6376598713214</v>
      </c>
      <c r="BZ49" s="241">
        <f t="shared" si="42"/>
        <v>14239.99599933</v>
      </c>
      <c r="CA49" s="241">
        <f t="shared" si="43"/>
        <v>75188.995353250706</v>
      </c>
      <c r="CB49" s="241">
        <f t="shared" si="44"/>
        <v>14238.99599933</v>
      </c>
      <c r="CC49" s="241">
        <f t="shared" si="45"/>
        <v>75658.995353250706</v>
      </c>
      <c r="CD49" s="241">
        <f t="shared" si="46"/>
        <v>7128.5981328868511</v>
      </c>
      <c r="CE49" s="241">
        <f t="shared" si="47"/>
        <v>2912.8706403199249</v>
      </c>
      <c r="CF49" s="241">
        <f t="shared" si="48"/>
        <v>8133.6376598713214</v>
      </c>
      <c r="CG49" s="241">
        <f t="shared" si="49"/>
        <v>32538.045782069745</v>
      </c>
      <c r="CH49" s="248"/>
      <c r="CI49" s="248"/>
      <c r="CJ49" s="248"/>
      <c r="CK49" s="248"/>
      <c r="CL49" s="248"/>
      <c r="CM49" s="248"/>
      <c r="CN49" s="248"/>
      <c r="CO49" s="248"/>
      <c r="CP49" s="248"/>
      <c r="CQ49" s="248"/>
      <c r="CR49" s="248"/>
      <c r="CS49" s="248"/>
      <c r="CT49" s="248"/>
      <c r="CU49" s="248"/>
      <c r="CV49" s="248"/>
      <c r="CW49" s="248"/>
      <c r="CX49" s="248"/>
      <c r="CY49" s="248"/>
      <c r="CZ49" s="248"/>
      <c r="DA49" s="248"/>
      <c r="DB49" s="248"/>
      <c r="DC49" s="248"/>
      <c r="DD49" s="248"/>
      <c r="DE49" s="248"/>
      <c r="DF49" s="248"/>
      <c r="DG49" s="248"/>
      <c r="DH49" s="248"/>
      <c r="DI49" s="248"/>
      <c r="DJ49" s="248"/>
      <c r="DK49" s="248"/>
      <c r="DL49" s="248"/>
      <c r="DM49" s="248"/>
      <c r="DN49" s="248"/>
      <c r="DO49" s="248"/>
      <c r="DP49" s="248"/>
      <c r="DQ49" s="248"/>
    </row>
    <row r="50" spans="1:121" ht="15.75" customHeight="1">
      <c r="A50" s="243">
        <v>46</v>
      </c>
      <c r="B50" s="244">
        <f>B49*(1+'Immobilie als Kapitalanlage'!$D$47)</f>
        <v>393534.25482103101</v>
      </c>
      <c r="C50" s="241">
        <f>$C$4*(1+'Immobilie als Kapitalanlage'!$D$47)^A50</f>
        <v>0</v>
      </c>
      <c r="D50" s="244">
        <f t="shared" si="69"/>
        <v>393534.25482103101</v>
      </c>
      <c r="E50" s="138"/>
      <c r="F50" s="245">
        <f>MAX(-FV('Immobilie als Kapitalanlage'!$D$26/12,A50*12,(-I50/12),'Immobilie als Kapitalanlage'!$C$25,0),0)</f>
        <v>0</v>
      </c>
      <c r="G50" s="245">
        <f>IF(I50-H50&gt;G49,F49*'Immobilie als Kapitalanlage'!$D$26,I50-H50)</f>
        <v>0</v>
      </c>
      <c r="H50" s="241">
        <f t="shared" si="4"/>
        <v>0</v>
      </c>
      <c r="I50" s="241">
        <f>$F$4*('Immobilie als Kapitalanlage'!$D$26+'Immobilie als Kapitalanlage'!$D$36)</f>
        <v>12450</v>
      </c>
      <c r="J50" s="245">
        <f>MAX((-FV('Immobilie als Kapitalanlage'!$C$85/12,(A50-$A$14)*12,(-M50/12),$J$14,0)),0)</f>
        <v>0</v>
      </c>
      <c r="K50" s="241">
        <f t="shared" si="98"/>
        <v>12261.397866443147</v>
      </c>
      <c r="L50" s="241">
        <f t="shared" si="99"/>
        <v>0</v>
      </c>
      <c r="M50" s="241">
        <f>$J$14*('Immobilie als Kapitalanlage'!$C$85+'Immobilie als Kapitalanlage'!$C$86)</f>
        <v>12261.397866443147</v>
      </c>
      <c r="N50" s="245">
        <f>MAX((-FV('Immobilie als Kapitalanlage'!$C$88/12,(A50-$A$19)*12,(-Q50/12),$N$19,0)),0)</f>
        <v>0</v>
      </c>
      <c r="O50" s="245">
        <f t="shared" si="115"/>
        <v>10527.358339458677</v>
      </c>
      <c r="P50" s="241">
        <f t="shared" si="116"/>
        <v>0</v>
      </c>
      <c r="Q50" s="241">
        <f>$N$19*('Immobilie als Kapitalanlage'!$C$88+'Immobilie als Kapitalanlage'!$C$89)</f>
        <v>10527.358339458677</v>
      </c>
      <c r="R50" s="250">
        <f t="shared" si="6"/>
        <v>-3551.4660062829967</v>
      </c>
      <c r="S50" s="250">
        <f>'Immobilie als Kapitalanlage'!$C$27*12*(1+'Immobilie als Kapitalanlage'!$D$44)^A49</f>
        <v>-596.78670945776878</v>
      </c>
      <c r="T50" s="250">
        <f>'Immobilie als Kapitalanlage'!$C$29*12*(1+'Immobilie als Kapitalanlage'!$D$44)^A49</f>
        <v>-2077.0517829167443</v>
      </c>
      <c r="U50" s="250">
        <f>'Immobilie als Kapitalanlage'!$C$30*12*(1+'Immobilie als Kapitalanlage'!$D$44)^A49</f>
        <v>-877.62751390848359</v>
      </c>
      <c r="V50" s="250">
        <f>'Immobilie als Kapitalanlage'!$C$28*12*(1+'Immobilie als Kapitalanlage'!$D$44)^A49</f>
        <v>-1491.9667736444221</v>
      </c>
      <c r="W50" s="241">
        <f>$W$5*(1+'Immobilie als Kapitalanlage'!$D$43)^A49</f>
        <v>24866.1128940737</v>
      </c>
      <c r="X50" s="241">
        <f>$X$5*(1+'Immobilie als Kapitalanlage'!$D$43)^A49</f>
        <v>28347.368699244016</v>
      </c>
      <c r="Y50" s="241">
        <f>-'Immobilie als Kapitalanlage'!$C$25*'Immobilie als Kapitalanlage'!$D$99</f>
        <v>0</v>
      </c>
      <c r="Z50" s="241">
        <f t="shared" si="7"/>
        <v>0</v>
      </c>
      <c r="AA50" s="241">
        <f>FV((((1+'Immobilie als Kapitalanlage'!$D$80)^(1/12)-1)),A50*12,Y50/12,-'Immobilie als Kapitalanlage'!$G$95,)</f>
        <v>0</v>
      </c>
      <c r="AB50" s="241">
        <f>$AB$5*(1+'Immobilie als Kapitalanlage'!$D$51)^A49</f>
        <v>195028.33642410746</v>
      </c>
      <c r="AC50" s="241">
        <f>IF(AND(AB50&gt;Steuern!$D$6,AB50&lt;Steuern!$D$10),INT((Steuern!$H$8*(AB50-Steuern!$D$6)/10000+Steuern!$I$8)*(AB50-Steuern!$D$6)/10000),IF(AND(AB50&gt;Steuern!$F$8,AB50&lt;Steuern!$D$12),INT((Steuern!$H$10*(AB50-Steuern!$F$8)/10000+Steuern!$I$10)*(AB50-Steuern!$F$8)/10000+Steuern!$J$10),IF(AND(AB50&gt;Steuern!$F$10,AB50&lt;Steuern!$D$14),INT(AB50*Steuern!$H$12-Steuern!$I$12),IF(AB50&gt;Steuern!$F$12,INT(AB50*Steuern!$H$14-Steuern!$I$14),0))))</f>
        <v>71938</v>
      </c>
      <c r="AD50" s="241">
        <f>IF(AND(AB50/2&gt;Steuern!$D$6,AB50/2&lt;Steuern!$D$10),INT((Steuern!$H$8*(AB50/2-Steuern!$D$8)/10000+Steuern!$I$8)*(AB50/2-Steuern!$D$6)/10000),IF(AND(AB50/2&gt;Steuern!$F$8,AB50/2&lt;Steuern!$D$12),INT((Steuern!$H$10*(AB50/2-Steuern!$F$8)/10000+Steuern!$I$10)*(AB50/2-Steuern!$F$8)/10000+Steuern!$J$10),IF(AND(AB50/2&gt;Steuern!$F$10,AB50/2&lt;Steuern!$D$14),INT(AB50/2*Steuern!$H$12-Steuern!$I$12),IF(AB50/2&gt;Steuern!$F$12,INT(AB50/2*Steuern!$H$14-Steuern!$I$14),0))))*2</f>
        <v>61964</v>
      </c>
      <c r="AE50" s="241">
        <f t="shared" si="8"/>
        <v>21314.646887790703</v>
      </c>
      <c r="AF50" s="241">
        <f t="shared" si="9"/>
        <v>9053.2490213475558</v>
      </c>
      <c r="AG50" s="241">
        <f t="shared" si="10"/>
        <v>10787.288548332026</v>
      </c>
      <c r="AH50" s="241">
        <f t="shared" si="11"/>
        <v>24795.902692961019</v>
      </c>
      <c r="AI50" s="241">
        <f t="shared" si="12"/>
        <v>12534.504826517872</v>
      </c>
      <c r="AJ50" s="241">
        <f t="shared" si="13"/>
        <v>14268.544353502342</v>
      </c>
      <c r="AK50" s="248"/>
      <c r="AL50" s="241">
        <f>('Immobilie als Kapitalanlage'!$C$16+'Immobilie als Kapitalanlage'!$C$20+'Immobilie als Kapitalanlage'!$C$15)*(1-'Immobilie als Kapitalanlage'!$D$53)</f>
        <v>190858.5</v>
      </c>
      <c r="AM50" s="241">
        <f>AL50*'Immobilie als Kapitalanlage'!$D$52</f>
        <v>3817.17</v>
      </c>
      <c r="AN50" s="241">
        <f t="shared" si="14"/>
        <v>212525.81331189815</v>
      </c>
      <c r="AO50" s="241">
        <f>IF(AND(AN50&gt;Steuern!$D$6,AN50&lt;Steuern!$D$10),INT((Steuern!H45*(AN50-Steuern!$D$8)/10000+Steuern!$I$8)*(AN50-Steuern!$D$6)/10000),IF(AND(AN50&gt;Steuern!$F$8,AN50&lt;Steuern!$D$12),INT((Steuern!$H$10*(AN50-Steuern!$F$8)/10000+Steuern!$I$10)*(AN50-Steuern!$F$8)/10000+Steuern!$J$10),IF(AND(AN50&gt;Steuern!$F$10,AN50&lt;Steuern!$D$14),INT(AN50*Steuern!$H$12-Steuern!$I$12),IF(AN50&gt;Steuern!$F$12,INT(AN50*Steuern!$H$14-Steuern!$I$14),0))))</f>
        <v>79287</v>
      </c>
      <c r="AP50" s="241">
        <f>IF(AND(AN50/2&gt;Steuern!$D$6,AN50/2&lt;Steuern!$D$10),INT((Steuern!$H$8*(AN50/2-Steuern!$D$8)/10000+Steuern!$I$8)*(AN50/2-Steuern!$D$6)/10000),IF(AND(AN50/2&gt;Steuern!$F$8,AN50/2&lt;Steuern!$D$12),INT((Steuern!$H$10*(AN50/2-Steuern!$F$8)/10000+Steuern!$I$10)*(AN50/2-Steuern!$F$8)/10000+Steuern!$J$10),IF(AND(AN50/2&gt;Steuern!$F$10,AN50/2&lt;Steuern!$D$14),INT(AN50/2*Steuern!$H$12-Steuern!$I$12),IF(AN50/2&gt;Steuern!$F$12,INT(AN50/2*Steuern!$H$14-Steuern!$I$14),0))))*2</f>
        <v>69314</v>
      </c>
      <c r="AQ50" s="241">
        <f t="shared" si="15"/>
        <v>200264.415445455</v>
      </c>
      <c r="AR50" s="241">
        <f>IF(AND(AQ50&gt;Steuern!$D$6,AQ50&lt;Steuern!$D$10),INT((Steuern!$H$8*(AQ50-Steuern!$D$6)/10000+Steuern!$I$8)*(AQ50-Steuern!$D$6)/10000),IF(AND(AQ50&gt;Steuern!$F$8,AQ50&lt;Steuern!$D$12),INT((Steuern!$H$10*(AQ50-Steuern!$F$8)/10000+Steuern!$I$10)*(AQ50-Steuern!$F$8)/10000+Steuern!$J$10),IF(AND(AQ50&gt;Steuern!$F$10,AQ50&lt;Steuern!$D$14),INT(AQ50*Steuern!$H$12-Steuern!$I$12),IF(AQ50&gt;Steuern!$F$12,INT(AQ50*Steuern!$H$14-Steuern!$I$14),0))))</f>
        <v>74138</v>
      </c>
      <c r="AS50" s="241">
        <f t="shared" si="16"/>
        <v>201998.45497243947</v>
      </c>
      <c r="AT50" s="241">
        <f>IF(AND(AS50&gt;Steuern!$D$6,AS50&lt;Steuern!$D$10),INT((Steuern!$H$8*(AS50-Steuern!$D$6)/10000+Steuern!$I$8)*(AS50-Steuern!$D$6)/10000),IF(AND(AS50&gt;Steuern!$F$8,AS50&lt;Steuern!$D$12),INT((Steuern!$H$10*(AS50-Steuern!$F$8)/10000+Steuern!$I$10)*(AS50-Steuern!$F$8)/10000+Steuern!$J$10),IF(AND(AS50&gt;Steuern!$F$10,AS50&lt;Steuern!$D$14),INT(AS50*Steuern!$H$12-Steuern!$I$12),IF(AS50&gt;Steuern!$F$12,INT(AS50*Steuern!$H$14-Steuern!$I$14),0))))</f>
        <v>74866</v>
      </c>
      <c r="AU50" s="241">
        <f t="shared" si="17"/>
        <v>216007.06911706846</v>
      </c>
      <c r="AV50" s="241">
        <f>IF(AND(AU50&gt;Steuern!$D$6,AU50&lt;Steuern!$D$10),INT((Steuern!$H$8*(AU50-Steuern!$D$6)/10000+Steuern!$I$8)*(AU50-Steuern!$D$6)/10000),IF(AND(AU50&gt;Steuern!$F$8,AU50&lt;Steuern!$D$12),INT((Steuern!$H$10*(AU50-Steuern!$F$8)/10000+Steuern!$I$10)*(AU50-Steuern!$F$8)/10000+Steuern!$J$10),IF(AND(AU50&gt;Steuern!$F$10,AU50&lt;Steuern!$D$14),INT(AU50*Steuern!$H$12-Steuern!$I$12),IF(AU50&gt;Steuern!$F$12,INT(AU50*Steuern!$H$14-Steuern!$I$14),0))))</f>
        <v>80749</v>
      </c>
      <c r="AW50" s="241">
        <f>IF(AND(AU50/2&gt;Steuern!$D$6,AU50/2&lt;Steuern!$D$10),INT((Steuern!$H$8*(AU50/2-Steuern!$D$8)/10000+Steuern!$I$8)*(AU50/2-Steuern!$D$6)/10000),IF(AND(AU50/2&gt;Steuern!$F$8,AU50/2&lt;Steuern!$D$12),INT((Steuern!$H$10*(AU50/2-Steuern!$F$8)/10000+Steuern!$I$10)*(AU50/2-Steuern!$F$8)/10000+Steuern!$J$10),IF(AND(AU50/2&gt;Steuern!$F$10,AU50/2&lt;Steuern!$D$14),INT(AU50/2*Steuern!$H$12-Steuern!$I$12),IF(AU50/2&gt;Steuern!$F$12,INT(AU50/2*Steuern!$H$14-Steuern!$I$14),0))))*2</f>
        <v>70776</v>
      </c>
      <c r="AX50" s="241">
        <f t="shared" si="18"/>
        <v>203745.67125062531</v>
      </c>
      <c r="AY50" s="241">
        <f>IF(AND(AX50&gt;Steuern!$D$6,AX50&lt;Steuern!$D$10),INT((Steuern!N45*(AX50-Steuern!$D$8)/10000+Steuern!$I$8)*(AX50-Steuern!$D$6)/10000),IF(AND(AX50&gt;Steuern!$F$8,AX50&lt;Steuern!$D$12),INT((Steuern!$H$10*(AX50-Steuern!$F$8)/10000+Steuern!$I$10)*(AX50-Steuern!$F$8)/10000+Steuern!$J$10),IF(AND(AX50&gt;Steuern!$F$10,AX50&lt;Steuern!$D$14),INT(AX50*Steuern!$H$12-Steuern!$I$12),IF(AX50&gt;Steuern!$F$12,INT(AX50*Steuern!$H$14-Steuern!$I$14),0))))</f>
        <v>75600</v>
      </c>
      <c r="AZ50" s="241">
        <f t="shared" si="19"/>
        <v>205479.71077760978</v>
      </c>
      <c r="BA50" s="241">
        <f>IF(AND(AZ50&gt;Steuern!$D$6,AZ50&lt;Steuern!$D$10),INT((Steuern!P45*(AZ50-Steuern!$D$8)/10000+Steuern!$I$8)*(AZ50-Steuern!$D$6)/10000),IF(AND(AZ50&gt;Steuern!$F$8,AZ50&lt;Steuern!$D$12),INT((Steuern!$H$10*(AZ50-Steuern!$F$8)/10000+Steuern!$I$10)*(AZ50-Steuern!$F$8)/10000+Steuern!$J$10),IF(AND(AZ50&gt;Steuern!$F$10,AZ50&lt;Steuern!$D$14),INT(AZ50*Steuern!$H$12-Steuern!$I$12),IF(AZ50&gt;Steuern!$F$12,INT(AZ50*Steuern!$H$14-Steuern!$I$14),0))))</f>
        <v>76328</v>
      </c>
      <c r="BB50" s="241">
        <f t="shared" ref="BB50:BC50" si="177">AC50-AO50</f>
        <v>-7349</v>
      </c>
      <c r="BC50" s="241">
        <f t="shared" si="177"/>
        <v>-7350</v>
      </c>
      <c r="BD50" s="241">
        <f t="shared" si="21"/>
        <v>-2200</v>
      </c>
      <c r="BE50" s="241">
        <f t="shared" si="22"/>
        <v>-2928</v>
      </c>
      <c r="BF50" s="241">
        <f t="shared" ref="BF50:BG50" si="178">AC50-AV50</f>
        <v>-8811</v>
      </c>
      <c r="BG50" s="241">
        <f t="shared" si="178"/>
        <v>-8812</v>
      </c>
      <c r="BH50" s="241">
        <f t="shared" si="24"/>
        <v>-3662</v>
      </c>
      <c r="BI50" s="241">
        <f t="shared" si="25"/>
        <v>-4390</v>
      </c>
      <c r="BJ50" s="241">
        <f t="shared" si="26"/>
        <v>12473.680114146282</v>
      </c>
      <c r="BK50" s="241">
        <f t="shared" si="27"/>
        <v>12472.680114146282</v>
      </c>
      <c r="BL50" s="241">
        <f t="shared" si="28"/>
        <v>5361.2822477031332</v>
      </c>
      <c r="BM50" s="241">
        <f t="shared" si="29"/>
        <v>6367.3217746876035</v>
      </c>
      <c r="BN50" s="241">
        <f t="shared" si="30"/>
        <v>12473.680114146282</v>
      </c>
      <c r="BO50" s="241">
        <f t="shared" si="31"/>
        <v>28119.885208881184</v>
      </c>
      <c r="BP50" s="241">
        <f t="shared" si="32"/>
        <v>12472.680114146282</v>
      </c>
      <c r="BQ50" s="241">
        <f t="shared" si="33"/>
        <v>26826.885208881187</v>
      </c>
      <c r="BR50" s="241">
        <f t="shared" si="34"/>
        <v>5361.2822477031332</v>
      </c>
      <c r="BS50" s="241">
        <f t="shared" si="35"/>
        <v>-51269.637370492768</v>
      </c>
      <c r="BT50" s="241">
        <f t="shared" si="36"/>
        <v>6367.3217746876035</v>
      </c>
      <c r="BU50" s="241">
        <f t="shared" si="37"/>
        <v>-20638.422701758464</v>
      </c>
      <c r="BV50" s="241">
        <f t="shared" si="38"/>
        <v>14492.935919316598</v>
      </c>
      <c r="BW50" s="241">
        <f t="shared" si="39"/>
        <v>14491.935919316598</v>
      </c>
      <c r="BX50" s="241">
        <f t="shared" si="40"/>
        <v>7380.5380528734495</v>
      </c>
      <c r="BY50" s="241">
        <f t="shared" si="41"/>
        <v>8386.5775798579198</v>
      </c>
      <c r="BZ50" s="241">
        <f t="shared" si="42"/>
        <v>14492.935919316598</v>
      </c>
      <c r="CA50" s="241">
        <f t="shared" si="43"/>
        <v>89681.931272567308</v>
      </c>
      <c r="CB50" s="241">
        <f t="shared" si="44"/>
        <v>14491.935919316598</v>
      </c>
      <c r="CC50" s="241">
        <f t="shared" si="45"/>
        <v>90150.931272567308</v>
      </c>
      <c r="CD50" s="241">
        <f t="shared" si="46"/>
        <v>7380.5380528734495</v>
      </c>
      <c r="CE50" s="241">
        <f t="shared" si="47"/>
        <v>10293.408693193374</v>
      </c>
      <c r="CF50" s="241">
        <f t="shared" si="48"/>
        <v>8386.5775798579198</v>
      </c>
      <c r="CG50" s="241">
        <f t="shared" si="49"/>
        <v>40924.623361927661</v>
      </c>
      <c r="CH50" s="248"/>
      <c r="CI50" s="248"/>
      <c r="CJ50" s="248"/>
      <c r="CK50" s="248"/>
      <c r="CL50" s="248"/>
      <c r="CM50" s="248"/>
      <c r="CN50" s="248"/>
      <c r="CO50" s="248"/>
      <c r="CP50" s="248"/>
      <c r="CQ50" s="248"/>
      <c r="CR50" s="248"/>
      <c r="CS50" s="248"/>
      <c r="CT50" s="248"/>
      <c r="CU50" s="248"/>
      <c r="CV50" s="248"/>
      <c r="CW50" s="248"/>
      <c r="CX50" s="248"/>
      <c r="CY50" s="248"/>
      <c r="CZ50" s="248"/>
      <c r="DA50" s="248"/>
      <c r="DB50" s="248"/>
      <c r="DC50" s="248"/>
      <c r="DD50" s="248"/>
      <c r="DE50" s="248"/>
      <c r="DF50" s="248"/>
      <c r="DG50" s="248"/>
      <c r="DH50" s="248"/>
      <c r="DI50" s="248"/>
      <c r="DJ50" s="248"/>
      <c r="DK50" s="248"/>
      <c r="DL50" s="248"/>
      <c r="DM50" s="248"/>
      <c r="DN50" s="248"/>
      <c r="DO50" s="248"/>
      <c r="DP50" s="248"/>
      <c r="DQ50" s="248"/>
    </row>
    <row r="51" spans="1:121" ht="15.75" customHeight="1">
      <c r="A51" s="243">
        <v>47</v>
      </c>
      <c r="B51" s="244">
        <f>B50*(1+'Immobilie als Kapitalanlage'!$D$47)</f>
        <v>397469.5973692413</v>
      </c>
      <c r="C51" s="241">
        <f>$C$4*(1+'Immobilie als Kapitalanlage'!$D$47)^A51</f>
        <v>0</v>
      </c>
      <c r="D51" s="244">
        <f t="shared" si="69"/>
        <v>397469.5973692413</v>
      </c>
      <c r="E51" s="138"/>
      <c r="F51" s="245">
        <f>MAX(-FV('Immobilie als Kapitalanlage'!$D$26/12,A51*12,(-I51/12),'Immobilie als Kapitalanlage'!$C$25,0),0)</f>
        <v>0</v>
      </c>
      <c r="G51" s="245">
        <f>IF(I51-H51&gt;G50,F50*'Immobilie als Kapitalanlage'!$D$26,I51-H51)</f>
        <v>0</v>
      </c>
      <c r="H51" s="241">
        <f t="shared" si="4"/>
        <v>0</v>
      </c>
      <c r="I51" s="241">
        <f>$F$4*('Immobilie als Kapitalanlage'!$D$26+'Immobilie als Kapitalanlage'!$D$36)</f>
        <v>12450</v>
      </c>
      <c r="J51" s="245">
        <f>MAX((-FV('Immobilie als Kapitalanlage'!$C$85/12,(A51-$A$14)*12,(-M51/12),$J$14,0)),0)</f>
        <v>0</v>
      </c>
      <c r="K51" s="241">
        <f t="shared" si="98"/>
        <v>12261.397866443147</v>
      </c>
      <c r="L51" s="241">
        <f t="shared" si="99"/>
        <v>0</v>
      </c>
      <c r="M51" s="241">
        <f>$J$14*('Immobilie als Kapitalanlage'!$C$85+'Immobilie als Kapitalanlage'!$C$86)</f>
        <v>12261.397866443147</v>
      </c>
      <c r="N51" s="245">
        <f>MAX((-FV('Immobilie als Kapitalanlage'!$C$88/12,(A51-$A$19)*12,(-Q51/12),$N$19,0)),0)</f>
        <v>0</v>
      </c>
      <c r="O51" s="245">
        <f t="shared" si="115"/>
        <v>10527.358339458677</v>
      </c>
      <c r="P51" s="241">
        <f t="shared" si="116"/>
        <v>0</v>
      </c>
      <c r="Q51" s="241">
        <f>$N$19*('Immobilie als Kapitalanlage'!$C$88+'Immobilie als Kapitalanlage'!$C$89)</f>
        <v>10527.358339458677</v>
      </c>
      <c r="R51" s="250">
        <f t="shared" si="6"/>
        <v>-3622.4953264086571</v>
      </c>
      <c r="S51" s="250">
        <f>'Immobilie als Kapitalanlage'!$C$27*12*(1+'Immobilie als Kapitalanlage'!$D$44)^A50</f>
        <v>-608.72244364692426</v>
      </c>
      <c r="T51" s="250">
        <f>'Immobilie als Kapitalanlage'!$C$29*12*(1+'Immobilie als Kapitalanlage'!$D$44)^A50</f>
        <v>-2118.5928185750795</v>
      </c>
      <c r="U51" s="250">
        <f>'Immobilie als Kapitalanlage'!$C$30*12*(1+'Immobilie als Kapitalanlage'!$D$44)^A50</f>
        <v>-895.18006418665334</v>
      </c>
      <c r="V51" s="250">
        <f>'Immobilie als Kapitalanlage'!$C$28*12*(1+'Immobilie als Kapitalanlage'!$D$44)^A50</f>
        <v>-1521.8061091173106</v>
      </c>
      <c r="W51" s="241">
        <f>$W$5*(1+'Immobilie als Kapitalanlage'!$D$43)^A50</f>
        <v>25363.435151955178</v>
      </c>
      <c r="X51" s="241">
        <f>$X$5*(1+'Immobilie als Kapitalanlage'!$D$43)^A50</f>
        <v>28914.3160732289</v>
      </c>
      <c r="Y51" s="241">
        <f>-'Immobilie als Kapitalanlage'!$C$25*'Immobilie als Kapitalanlage'!$D$99</f>
        <v>0</v>
      </c>
      <c r="Z51" s="241">
        <f t="shared" si="7"/>
        <v>0</v>
      </c>
      <c r="AA51" s="241">
        <f>FV((((1+'Immobilie als Kapitalanlage'!$D$80)^(1/12)-1)),A51*12,Y51/12,-'Immobilie als Kapitalanlage'!$G$95,)</f>
        <v>0</v>
      </c>
      <c r="AB51" s="241">
        <f>$AB$5*(1+'Immobilie als Kapitalanlage'!$D$51)^A50</f>
        <v>198928.90315258963</v>
      </c>
      <c r="AC51" s="241">
        <f>IF(AND(AB51&gt;Steuern!$D$6,AB51&lt;Steuern!$D$10),INT((Steuern!$H$8*(AB51-Steuern!$D$6)/10000+Steuern!$I$8)*(AB51-Steuern!$D$6)/10000),IF(AND(AB51&gt;Steuern!$F$8,AB51&lt;Steuern!$D$12),INT((Steuern!$H$10*(AB51-Steuern!$F$8)/10000+Steuern!$I$10)*(AB51-Steuern!$F$8)/10000+Steuern!$J$10),IF(AND(AB51&gt;Steuern!$F$10,AB51&lt;Steuern!$D$14),INT(AB51*Steuern!$H$12-Steuern!$I$12),IF(AB51&gt;Steuern!$F$12,INT(AB51*Steuern!$H$14-Steuern!$I$14),0))))</f>
        <v>73577</v>
      </c>
      <c r="AD51" s="241">
        <f>IF(AND(AB51/2&gt;Steuern!$D$6,AB51/2&lt;Steuern!$D$10),INT((Steuern!$H$8*(AB51/2-Steuern!$D$8)/10000+Steuern!$I$8)*(AB51/2-Steuern!$D$6)/10000),IF(AND(AB51/2&gt;Steuern!$F$8,AB51/2&lt;Steuern!$D$12),INT((Steuern!$H$10*(AB51/2-Steuern!$F$8)/10000+Steuern!$I$10)*(AB51/2-Steuern!$F$8)/10000+Steuern!$J$10),IF(AND(AB51/2&gt;Steuern!$F$10,AB51/2&lt;Steuern!$D$14),INT(AB51/2*Steuern!$H$12-Steuern!$I$12),IF(AB51/2&gt;Steuern!$F$12,INT(AB51/2*Steuern!$H$14-Steuern!$I$14),0))))*2</f>
        <v>63604</v>
      </c>
      <c r="AE51" s="241">
        <f t="shared" si="8"/>
        <v>21740.93982554652</v>
      </c>
      <c r="AF51" s="241">
        <f t="shared" si="9"/>
        <v>9479.5419591033751</v>
      </c>
      <c r="AG51" s="241">
        <f t="shared" si="10"/>
        <v>11213.581486087845</v>
      </c>
      <c r="AH51" s="241">
        <f t="shared" si="11"/>
        <v>25291.820746820242</v>
      </c>
      <c r="AI51" s="241">
        <f t="shared" si="12"/>
        <v>13030.422880377097</v>
      </c>
      <c r="AJ51" s="241">
        <f t="shared" si="13"/>
        <v>14764.462407361567</v>
      </c>
      <c r="AK51" s="248"/>
      <c r="AL51" s="241">
        <f>('Immobilie als Kapitalanlage'!$C$16+'Immobilie als Kapitalanlage'!$C$20+'Immobilie als Kapitalanlage'!$C$15)*(1-'Immobilie als Kapitalanlage'!$D$53)</f>
        <v>190858.5</v>
      </c>
      <c r="AM51" s="241">
        <f>AL51*'Immobilie als Kapitalanlage'!$D$52</f>
        <v>3817.17</v>
      </c>
      <c r="AN51" s="241">
        <f t="shared" si="14"/>
        <v>216852.67297813614</v>
      </c>
      <c r="AO51" s="241">
        <f>IF(AND(AN51&gt;Steuern!$D$6,AN51&lt;Steuern!$D$10),INT((Steuern!H46*(AN51-Steuern!$D$8)/10000+Steuern!$I$8)*(AN51-Steuern!$D$6)/10000),IF(AND(AN51&gt;Steuern!$F$8,AN51&lt;Steuern!$D$12),INT((Steuern!$H$10*(AN51-Steuern!$F$8)/10000+Steuern!$I$10)*(AN51-Steuern!$F$8)/10000+Steuern!$J$10),IF(AND(AN51&gt;Steuern!$F$10,AN51&lt;Steuern!$D$14),INT(AN51*Steuern!$H$12-Steuern!$I$12),IF(AN51&gt;Steuern!$F$12,INT(AN51*Steuern!$H$14-Steuern!$I$14),0))))</f>
        <v>81105</v>
      </c>
      <c r="AP51" s="241">
        <f>IF(AND(AN51/2&gt;Steuern!$D$6,AN51/2&lt;Steuern!$D$10),INT((Steuern!$H$8*(AN51/2-Steuern!$D$8)/10000+Steuern!$I$8)*(AN51/2-Steuern!$D$6)/10000),IF(AND(AN51/2&gt;Steuern!$F$8,AN51/2&lt;Steuern!$D$12),INT((Steuern!$H$10*(AN51/2-Steuern!$F$8)/10000+Steuern!$I$10)*(AN51/2-Steuern!$F$8)/10000+Steuern!$J$10),IF(AND(AN51/2&gt;Steuern!$F$10,AN51/2&lt;Steuern!$D$14),INT(AN51/2*Steuern!$H$12-Steuern!$I$12),IF(AN51/2&gt;Steuern!$F$12,INT(AN51/2*Steuern!$H$14-Steuern!$I$14),0))))*2</f>
        <v>71132</v>
      </c>
      <c r="AQ51" s="241">
        <f t="shared" si="15"/>
        <v>204591.27511169299</v>
      </c>
      <c r="AR51" s="241">
        <f>IF(AND(AQ51&gt;Steuern!$D$6,AQ51&lt;Steuern!$D$10),INT((Steuern!$H$8*(AQ51-Steuern!$D$6)/10000+Steuern!$I$8)*(AQ51-Steuern!$D$6)/10000),IF(AND(AQ51&gt;Steuern!$F$8,AQ51&lt;Steuern!$D$12),INT((Steuern!$H$10*(AQ51-Steuern!$F$8)/10000+Steuern!$I$10)*(AQ51-Steuern!$F$8)/10000+Steuern!$J$10),IF(AND(AQ51&gt;Steuern!$F$10,AQ51&lt;Steuern!$D$14),INT(AQ51*Steuern!$H$12-Steuern!$I$12),IF(AQ51&gt;Steuern!$F$12,INT(AQ51*Steuern!$H$14-Steuern!$I$14),0))))</f>
        <v>75955</v>
      </c>
      <c r="AS51" s="241">
        <f t="shared" si="16"/>
        <v>206325.31463867746</v>
      </c>
      <c r="AT51" s="241">
        <f>IF(AND(AS51&gt;Steuern!$D$6,AS51&lt;Steuern!$D$10),INT((Steuern!$H$8*(AS51-Steuern!$D$6)/10000+Steuern!$I$8)*(AS51-Steuern!$D$6)/10000),IF(AND(AS51&gt;Steuern!$F$8,AS51&lt;Steuern!$D$12),INT((Steuern!$H$10*(AS51-Steuern!$F$8)/10000+Steuern!$I$10)*(AS51-Steuern!$F$8)/10000+Steuern!$J$10),IF(AND(AS51&gt;Steuern!$F$10,AS51&lt;Steuern!$D$14),INT(AS51*Steuern!$H$12-Steuern!$I$12),IF(AS51&gt;Steuern!$F$12,INT(AS51*Steuern!$H$14-Steuern!$I$14),0))))</f>
        <v>76683</v>
      </c>
      <c r="AU51" s="241">
        <f t="shared" si="17"/>
        <v>220403.55389940986</v>
      </c>
      <c r="AV51" s="241">
        <f>IF(AND(AU51&gt;Steuern!$D$6,AU51&lt;Steuern!$D$10),INT((Steuern!$H$8*(AU51-Steuern!$D$6)/10000+Steuern!$I$8)*(AU51-Steuern!$D$6)/10000),IF(AND(AU51&gt;Steuern!$F$8,AU51&lt;Steuern!$D$12),INT((Steuern!$H$10*(AU51-Steuern!$F$8)/10000+Steuern!$I$10)*(AU51-Steuern!$F$8)/10000+Steuern!$J$10),IF(AND(AU51&gt;Steuern!$F$10,AU51&lt;Steuern!$D$14),INT(AU51*Steuern!$H$12-Steuern!$I$12),IF(AU51&gt;Steuern!$F$12,INT(AU51*Steuern!$H$14-Steuern!$I$14),0))))</f>
        <v>82596</v>
      </c>
      <c r="AW51" s="241">
        <f>IF(AND(AU51/2&gt;Steuern!$D$6,AU51/2&lt;Steuern!$D$10),INT((Steuern!$H$8*(AU51/2-Steuern!$D$8)/10000+Steuern!$I$8)*(AU51/2-Steuern!$D$6)/10000),IF(AND(AU51/2&gt;Steuern!$F$8,AU51/2&lt;Steuern!$D$12),INT((Steuern!$H$10*(AU51/2-Steuern!$F$8)/10000+Steuern!$I$10)*(AU51/2-Steuern!$F$8)/10000+Steuern!$J$10),IF(AND(AU51/2&gt;Steuern!$F$10,AU51/2&lt;Steuern!$D$14),INT(AU51/2*Steuern!$H$12-Steuern!$I$12),IF(AU51/2&gt;Steuern!$F$12,INT(AU51/2*Steuern!$H$14-Steuern!$I$14),0))))*2</f>
        <v>72622</v>
      </c>
      <c r="AX51" s="241">
        <f t="shared" si="18"/>
        <v>208142.15603296671</v>
      </c>
      <c r="AY51" s="241">
        <f>IF(AND(AX51&gt;Steuern!$D$6,AX51&lt;Steuern!$D$10),INT((Steuern!N46*(AX51-Steuern!$D$8)/10000+Steuern!$I$8)*(AX51-Steuern!$D$6)/10000),IF(AND(AX51&gt;Steuern!$F$8,AX51&lt;Steuern!$D$12),INT((Steuern!$H$10*(AX51-Steuern!$F$8)/10000+Steuern!$I$10)*(AX51-Steuern!$F$8)/10000+Steuern!$J$10),IF(AND(AX51&gt;Steuern!$F$10,AX51&lt;Steuern!$D$14),INT(AX51*Steuern!$H$12-Steuern!$I$12),IF(AX51&gt;Steuern!$F$12,INT(AX51*Steuern!$H$14-Steuern!$I$14),0))))</f>
        <v>77446</v>
      </c>
      <c r="AZ51" s="241">
        <f t="shared" si="19"/>
        <v>209876.19555995119</v>
      </c>
      <c r="BA51" s="241">
        <f>IF(AND(AZ51&gt;Steuern!$D$6,AZ51&lt;Steuern!$D$10),INT((Steuern!P46*(AZ51-Steuern!$D$8)/10000+Steuern!$I$8)*(AZ51-Steuern!$D$6)/10000),IF(AND(AZ51&gt;Steuern!$F$8,AZ51&lt;Steuern!$D$12),INT((Steuern!$H$10*(AZ51-Steuern!$F$8)/10000+Steuern!$I$10)*(AZ51-Steuern!$F$8)/10000+Steuern!$J$10),IF(AND(AZ51&gt;Steuern!$F$10,AZ51&lt;Steuern!$D$14),INT(AZ51*Steuern!$H$12-Steuern!$I$12),IF(AZ51&gt;Steuern!$F$12,INT(AZ51*Steuern!$H$14-Steuern!$I$14),0))))</f>
        <v>78175</v>
      </c>
      <c r="BB51" s="241">
        <f t="shared" ref="BB51:BC51" si="179">AC51-AO51</f>
        <v>-7528</v>
      </c>
      <c r="BC51" s="241">
        <f t="shared" si="179"/>
        <v>-7528</v>
      </c>
      <c r="BD51" s="241">
        <f t="shared" si="21"/>
        <v>-2378</v>
      </c>
      <c r="BE51" s="241">
        <f t="shared" si="22"/>
        <v>-3106</v>
      </c>
      <c r="BF51" s="241">
        <f t="shared" ref="BF51:BG51" si="180">AC51-AV51</f>
        <v>-9019</v>
      </c>
      <c r="BG51" s="241">
        <f t="shared" si="180"/>
        <v>-9018</v>
      </c>
      <c r="BH51" s="241">
        <f t="shared" si="24"/>
        <v>-3869</v>
      </c>
      <c r="BI51" s="241">
        <f t="shared" si="25"/>
        <v>-4598</v>
      </c>
      <c r="BJ51" s="241">
        <f t="shared" si="26"/>
        <v>12691.133716429213</v>
      </c>
      <c r="BK51" s="241">
        <f t="shared" si="27"/>
        <v>12691.133716429213</v>
      </c>
      <c r="BL51" s="241">
        <f t="shared" si="28"/>
        <v>5579.7358499860638</v>
      </c>
      <c r="BM51" s="241">
        <f t="shared" si="29"/>
        <v>6585.7753769705341</v>
      </c>
      <c r="BN51" s="241">
        <f t="shared" si="30"/>
        <v>12691.133716429213</v>
      </c>
      <c r="BO51" s="241">
        <f t="shared" si="31"/>
        <v>40811.018925310396</v>
      </c>
      <c r="BP51" s="241">
        <f t="shared" si="32"/>
        <v>12691.133716429213</v>
      </c>
      <c r="BQ51" s="241">
        <f t="shared" si="33"/>
        <v>39518.018925310404</v>
      </c>
      <c r="BR51" s="241">
        <f t="shared" si="34"/>
        <v>5579.7358499860638</v>
      </c>
      <c r="BS51" s="241">
        <f t="shared" si="35"/>
        <v>-45689.901520506704</v>
      </c>
      <c r="BT51" s="241">
        <f t="shared" si="36"/>
        <v>6585.7753769705341</v>
      </c>
      <c r="BU51" s="241">
        <f t="shared" si="37"/>
        <v>-14052.647324787929</v>
      </c>
      <c r="BV51" s="241">
        <f t="shared" si="38"/>
        <v>14751.01463770293</v>
      </c>
      <c r="BW51" s="241">
        <f t="shared" si="39"/>
        <v>14752.01463770293</v>
      </c>
      <c r="BX51" s="241">
        <f t="shared" si="40"/>
        <v>7639.6167712597853</v>
      </c>
      <c r="BY51" s="241">
        <f t="shared" si="41"/>
        <v>8644.6562982442556</v>
      </c>
      <c r="BZ51" s="241">
        <f t="shared" si="42"/>
        <v>14751.01463770293</v>
      </c>
      <c r="CA51" s="241">
        <f t="shared" si="43"/>
        <v>104432.94591027024</v>
      </c>
      <c r="CB51" s="241">
        <f t="shared" si="44"/>
        <v>14752.01463770293</v>
      </c>
      <c r="CC51" s="241">
        <f t="shared" si="45"/>
        <v>104902.94591027024</v>
      </c>
      <c r="CD51" s="241">
        <f t="shared" si="46"/>
        <v>7639.6167712597853</v>
      </c>
      <c r="CE51" s="241">
        <f t="shared" si="47"/>
        <v>17933.02546445316</v>
      </c>
      <c r="CF51" s="241">
        <f t="shared" si="48"/>
        <v>8644.6562982442556</v>
      </c>
      <c r="CG51" s="241">
        <f t="shared" si="49"/>
        <v>49569.279660171916</v>
      </c>
      <c r="CH51" s="248"/>
      <c r="CI51" s="248"/>
      <c r="CJ51" s="248"/>
      <c r="CK51" s="248"/>
      <c r="CL51" s="248"/>
      <c r="CM51" s="248"/>
      <c r="CN51" s="248"/>
      <c r="CO51" s="248"/>
      <c r="CP51" s="248"/>
      <c r="CQ51" s="248"/>
      <c r="CR51" s="248"/>
      <c r="CS51" s="248"/>
      <c r="CT51" s="248"/>
      <c r="CU51" s="248"/>
      <c r="CV51" s="248"/>
      <c r="CW51" s="248"/>
      <c r="CX51" s="248"/>
      <c r="CY51" s="248"/>
      <c r="CZ51" s="248"/>
      <c r="DA51" s="248"/>
      <c r="DB51" s="248"/>
      <c r="DC51" s="248"/>
      <c r="DD51" s="248"/>
      <c r="DE51" s="248"/>
      <c r="DF51" s="248"/>
      <c r="DG51" s="248"/>
      <c r="DH51" s="248"/>
      <c r="DI51" s="248"/>
      <c r="DJ51" s="248"/>
      <c r="DK51" s="248"/>
      <c r="DL51" s="248"/>
      <c r="DM51" s="248"/>
      <c r="DN51" s="248"/>
      <c r="DO51" s="248"/>
      <c r="DP51" s="248"/>
      <c r="DQ51" s="248"/>
    </row>
    <row r="52" spans="1:121" ht="15.75" customHeight="1">
      <c r="A52" s="243">
        <v>48</v>
      </c>
      <c r="B52" s="244">
        <f>B51*(1+'Immobilie als Kapitalanlage'!$D$47)</f>
        <v>401444.2933429337</v>
      </c>
      <c r="C52" s="241">
        <f>$C$4*(1+'Immobilie als Kapitalanlage'!$D$47)^A52</f>
        <v>0</v>
      </c>
      <c r="D52" s="244">
        <f t="shared" si="69"/>
        <v>401444.2933429337</v>
      </c>
      <c r="E52" s="138"/>
      <c r="F52" s="245">
        <f>MAX(-FV('Immobilie als Kapitalanlage'!$D$26/12,A52*12,(-I52/12),'Immobilie als Kapitalanlage'!$C$25,0),0)</f>
        <v>0</v>
      </c>
      <c r="G52" s="245">
        <f>IF(I52-H52&gt;G51,F51*'Immobilie als Kapitalanlage'!$D$26,I52-H52)</f>
        <v>0</v>
      </c>
      <c r="H52" s="241">
        <f t="shared" si="4"/>
        <v>0</v>
      </c>
      <c r="I52" s="241">
        <f>$F$4*('Immobilie als Kapitalanlage'!$D$26+'Immobilie als Kapitalanlage'!$D$36)</f>
        <v>12450</v>
      </c>
      <c r="J52" s="245">
        <f>MAX((-FV('Immobilie als Kapitalanlage'!$C$85/12,(A52-$A$14)*12,(-M52/12),$J$14,0)),0)</f>
        <v>0</v>
      </c>
      <c r="K52" s="241">
        <f t="shared" si="98"/>
        <v>12261.397866443147</v>
      </c>
      <c r="L52" s="241">
        <f t="shared" si="99"/>
        <v>0</v>
      </c>
      <c r="M52" s="241">
        <f>$J$14*('Immobilie als Kapitalanlage'!$C$85+'Immobilie als Kapitalanlage'!$C$86)</f>
        <v>12261.397866443147</v>
      </c>
      <c r="N52" s="245">
        <f>MAX((-FV('Immobilie als Kapitalanlage'!$C$88/12,(A52-$A$19)*12,(-Q52/12),$N$19,0)),0)</f>
        <v>0</v>
      </c>
      <c r="O52" s="245">
        <f t="shared" si="115"/>
        <v>10527.358339458677</v>
      </c>
      <c r="P52" s="241">
        <f t="shared" si="116"/>
        <v>0</v>
      </c>
      <c r="Q52" s="241">
        <f>$N$19*('Immobilie als Kapitalanlage'!$C$88+'Immobilie als Kapitalanlage'!$C$89)</f>
        <v>10527.358339458677</v>
      </c>
      <c r="R52" s="250">
        <f t="shared" si="6"/>
        <v>-3694.9452329368291</v>
      </c>
      <c r="S52" s="250">
        <f>'Immobilie als Kapitalanlage'!$C$27*12*(1+'Immobilie als Kapitalanlage'!$D$44)^A51</f>
        <v>-620.89689251986249</v>
      </c>
      <c r="T52" s="250">
        <f>'Immobilie als Kapitalanlage'!$C$29*12*(1+'Immobilie als Kapitalanlage'!$D$44)^A51</f>
        <v>-2160.9646749465805</v>
      </c>
      <c r="U52" s="250">
        <f>'Immobilie als Kapitalanlage'!$C$30*12*(1+'Immobilie als Kapitalanlage'!$D$44)^A51</f>
        <v>-913.08366547038611</v>
      </c>
      <c r="V52" s="250">
        <f>'Immobilie als Kapitalanlage'!$C$28*12*(1+'Immobilie als Kapitalanlage'!$D$44)^A51</f>
        <v>-1552.2422312996564</v>
      </c>
      <c r="W52" s="241">
        <f>$W$5*(1+'Immobilie als Kapitalanlage'!$D$43)^A51</f>
        <v>25870.703854994274</v>
      </c>
      <c r="X52" s="241">
        <f>$X$5*(1+'Immobilie als Kapitalanlage'!$D$43)^A51</f>
        <v>29492.602394693466</v>
      </c>
      <c r="Y52" s="241">
        <f>-'Immobilie als Kapitalanlage'!$C$25*'Immobilie als Kapitalanlage'!$D$99</f>
        <v>0</v>
      </c>
      <c r="Z52" s="241">
        <f t="shared" si="7"/>
        <v>0</v>
      </c>
      <c r="AA52" s="241">
        <f>FV((((1+'Immobilie als Kapitalanlage'!$D$80)^(1/12)-1)),A52*12,Y52/12,-'Immobilie als Kapitalanlage'!$G$95,)</f>
        <v>0</v>
      </c>
      <c r="AB52" s="241">
        <f>$AB$5*(1+'Immobilie als Kapitalanlage'!$D$51)^A51</f>
        <v>202907.48121564137</v>
      </c>
      <c r="AC52" s="241">
        <f>IF(AND(AB52&gt;Steuern!$D$6,AB52&lt;Steuern!$D$10),INT((Steuern!$H$8*(AB52-Steuern!$D$6)/10000+Steuern!$I$8)*(AB52-Steuern!$D$6)/10000),IF(AND(AB52&gt;Steuern!$F$8,AB52&lt;Steuern!$D$12),INT((Steuern!$H$10*(AB52-Steuern!$F$8)/10000+Steuern!$I$10)*(AB52-Steuern!$F$8)/10000+Steuern!$J$10),IF(AND(AB52&gt;Steuern!$F$10,AB52&lt;Steuern!$D$14),INT(AB52*Steuern!$H$12-Steuern!$I$12),IF(AB52&gt;Steuern!$F$12,INT(AB52*Steuern!$H$14-Steuern!$I$14),0))))</f>
        <v>75248</v>
      </c>
      <c r="AD52" s="241">
        <f>IF(AND(AB52/2&gt;Steuern!$D$6,AB52/2&lt;Steuern!$D$10),INT((Steuern!$H$8*(AB52/2-Steuern!$D$8)/10000+Steuern!$I$8)*(AB52/2-Steuern!$D$6)/10000),IF(AND(AB52/2&gt;Steuern!$F$8,AB52/2&lt;Steuern!$D$12),INT((Steuern!$H$10*(AB52/2-Steuern!$F$8)/10000+Steuern!$I$10)*(AB52/2-Steuern!$F$8)/10000+Steuern!$J$10),IF(AND(AB52/2&gt;Steuern!$F$10,AB52/2&lt;Steuern!$D$14),INT(AB52/2*Steuern!$H$12-Steuern!$I$12),IF(AB52/2&gt;Steuern!$F$12,INT(AB52/2*Steuern!$H$14-Steuern!$I$14),0))))*2</f>
        <v>65274</v>
      </c>
      <c r="AE52" s="241">
        <f t="shared" si="8"/>
        <v>22175.758622057445</v>
      </c>
      <c r="AF52" s="241">
        <f t="shared" si="9"/>
        <v>9914.3607556142979</v>
      </c>
      <c r="AG52" s="241">
        <f t="shared" si="10"/>
        <v>11648.400282598768</v>
      </c>
      <c r="AH52" s="241">
        <f t="shared" si="11"/>
        <v>25797.657161756637</v>
      </c>
      <c r="AI52" s="241">
        <f t="shared" si="12"/>
        <v>13536.25929531349</v>
      </c>
      <c r="AJ52" s="241">
        <f t="shared" si="13"/>
        <v>15270.29882229796</v>
      </c>
      <c r="AK52" s="248"/>
      <c r="AL52" s="241">
        <f>('Immobilie als Kapitalanlage'!$C$16+'Immobilie als Kapitalanlage'!$C$20+'Immobilie als Kapitalanlage'!$C$15)*(1-'Immobilie als Kapitalanlage'!$D$53)</f>
        <v>190858.5</v>
      </c>
      <c r="AM52" s="241">
        <f>AL52*'Immobilie als Kapitalanlage'!$D$52</f>
        <v>3817.17</v>
      </c>
      <c r="AN52" s="241">
        <f t="shared" si="14"/>
        <v>221266.0698376988</v>
      </c>
      <c r="AO52" s="241">
        <f>IF(AND(AN52&gt;Steuern!$D$6,AN52&lt;Steuern!$D$10),INT((Steuern!H47*(AN52-Steuern!$D$8)/10000+Steuern!$I$8)*(AN52-Steuern!$D$6)/10000),IF(AND(AN52&gt;Steuern!$F$8,AN52&lt;Steuern!$D$12),INT((Steuern!$H$10*(AN52-Steuern!$F$8)/10000+Steuern!$I$10)*(AN52-Steuern!$F$8)/10000+Steuern!$J$10),IF(AND(AN52&gt;Steuern!$F$10,AN52&lt;Steuern!$D$14),INT(AN52*Steuern!$H$12-Steuern!$I$12),IF(AN52&gt;Steuern!$F$12,INT(AN52*Steuern!$H$14-Steuern!$I$14),0))))</f>
        <v>82958</v>
      </c>
      <c r="AP52" s="241">
        <f>IF(AND(AN52/2&gt;Steuern!$D$6,AN52/2&lt;Steuern!$D$10),INT((Steuern!$H$8*(AN52/2-Steuern!$D$8)/10000+Steuern!$I$8)*(AN52/2-Steuern!$D$6)/10000),IF(AND(AN52/2&gt;Steuern!$F$8,AN52/2&lt;Steuern!$D$12),INT((Steuern!$H$10*(AN52/2-Steuern!$F$8)/10000+Steuern!$I$10)*(AN52/2-Steuern!$F$8)/10000+Steuern!$J$10),IF(AND(AN52/2&gt;Steuern!$F$10,AN52/2&lt;Steuern!$D$14),INT(AN52/2*Steuern!$H$12-Steuern!$I$12),IF(AN52/2&gt;Steuern!$F$12,INT(AN52/2*Steuern!$H$14-Steuern!$I$14),0))))*2</f>
        <v>72984</v>
      </c>
      <c r="AQ52" s="241">
        <f t="shared" si="15"/>
        <v>209004.67197125565</v>
      </c>
      <c r="AR52" s="241">
        <f>IF(AND(AQ52&gt;Steuern!$D$6,AQ52&lt;Steuern!$D$10),INT((Steuern!$H$8*(AQ52-Steuern!$D$6)/10000+Steuern!$I$8)*(AQ52-Steuern!$D$6)/10000),IF(AND(AQ52&gt;Steuern!$F$8,AQ52&lt;Steuern!$D$12),INT((Steuern!$H$10*(AQ52-Steuern!$F$8)/10000+Steuern!$I$10)*(AQ52-Steuern!$F$8)/10000+Steuern!$J$10),IF(AND(AQ52&gt;Steuern!$F$10,AQ52&lt;Steuern!$D$14),INT(AQ52*Steuern!$H$12-Steuern!$I$12),IF(AQ52&gt;Steuern!$F$12,INT(AQ52*Steuern!$H$14-Steuern!$I$14),0))))</f>
        <v>77808</v>
      </c>
      <c r="AS52" s="241">
        <f t="shared" si="16"/>
        <v>210738.71149824013</v>
      </c>
      <c r="AT52" s="241">
        <f>IF(AND(AS52&gt;Steuern!$D$6,AS52&lt;Steuern!$D$10),INT((Steuern!$H$8*(AS52-Steuern!$D$6)/10000+Steuern!$I$8)*(AS52-Steuern!$D$6)/10000),IF(AND(AS52&gt;Steuern!$F$8,AS52&lt;Steuern!$D$12),INT((Steuern!$H$10*(AS52-Steuern!$F$8)/10000+Steuern!$I$10)*(AS52-Steuern!$F$8)/10000+Steuern!$J$10),IF(AND(AS52&gt;Steuern!$F$10,AS52&lt;Steuern!$D$14),INT(AS52*Steuern!$H$12-Steuern!$I$12),IF(AS52&gt;Steuern!$F$12,INT(AS52*Steuern!$H$14-Steuern!$I$14),0))))</f>
        <v>78537</v>
      </c>
      <c r="AU52" s="241">
        <f t="shared" si="17"/>
        <v>224887.96837739801</v>
      </c>
      <c r="AV52" s="241">
        <f>IF(AND(AU52&gt;Steuern!$D$6,AU52&lt;Steuern!$D$10),INT((Steuern!$H$8*(AU52-Steuern!$D$6)/10000+Steuern!$I$8)*(AU52-Steuern!$D$6)/10000),IF(AND(AU52&gt;Steuern!$F$8,AU52&lt;Steuern!$D$12),INT((Steuern!$H$10*(AU52-Steuern!$F$8)/10000+Steuern!$I$10)*(AU52-Steuern!$F$8)/10000+Steuern!$J$10),IF(AND(AU52&gt;Steuern!$F$10,AU52&lt;Steuern!$D$14),INT(AU52*Steuern!$H$12-Steuern!$I$12),IF(AU52&gt;Steuern!$F$12,INT(AU52*Steuern!$H$14-Steuern!$I$14),0))))</f>
        <v>84479</v>
      </c>
      <c r="AW52" s="241">
        <f>IF(AND(AU52/2&gt;Steuern!$D$6,AU52/2&lt;Steuern!$D$10),INT((Steuern!$H$8*(AU52/2-Steuern!$D$8)/10000+Steuern!$I$8)*(AU52/2-Steuern!$D$6)/10000),IF(AND(AU52/2&gt;Steuern!$F$8,AU52/2&lt;Steuern!$D$12),INT((Steuern!$H$10*(AU52/2-Steuern!$F$8)/10000+Steuern!$I$10)*(AU52/2-Steuern!$F$8)/10000+Steuern!$J$10),IF(AND(AU52/2&gt;Steuern!$F$10,AU52/2&lt;Steuern!$D$14),INT(AU52/2*Steuern!$H$12-Steuern!$I$12),IF(AU52/2&gt;Steuern!$F$12,INT(AU52/2*Steuern!$H$14-Steuern!$I$14),0))))*2</f>
        <v>74506</v>
      </c>
      <c r="AX52" s="241">
        <f t="shared" si="18"/>
        <v>212626.57051095486</v>
      </c>
      <c r="AY52" s="241">
        <f>IF(AND(AX52&gt;Steuern!$D$6,AX52&lt;Steuern!$D$10),INT((Steuern!N47*(AX52-Steuern!$D$8)/10000+Steuern!$I$8)*(AX52-Steuern!$D$6)/10000),IF(AND(AX52&gt;Steuern!$F$8,AX52&lt;Steuern!$D$12),INT((Steuern!$H$10*(AX52-Steuern!$F$8)/10000+Steuern!$I$10)*(AX52-Steuern!$F$8)/10000+Steuern!$J$10),IF(AND(AX52&gt;Steuern!$F$10,AX52&lt;Steuern!$D$14),INT(AX52*Steuern!$H$12-Steuern!$I$12),IF(AX52&gt;Steuern!$F$12,INT(AX52*Steuern!$H$14-Steuern!$I$14),0))))</f>
        <v>79330</v>
      </c>
      <c r="AZ52" s="241">
        <f t="shared" si="19"/>
        <v>214360.6100379393</v>
      </c>
      <c r="BA52" s="241">
        <f>IF(AND(AZ52&gt;Steuern!$D$6,AZ52&lt;Steuern!$D$10),INT((Steuern!P47*(AZ52-Steuern!$D$8)/10000+Steuern!$I$8)*(AZ52-Steuern!$D$6)/10000),IF(AND(AZ52&gt;Steuern!$F$8,AZ52&lt;Steuern!$D$12),INT((Steuern!$H$10*(AZ52-Steuern!$F$8)/10000+Steuern!$I$10)*(AZ52-Steuern!$F$8)/10000+Steuern!$J$10),IF(AND(AZ52&gt;Steuern!$F$10,AZ52&lt;Steuern!$D$14),INT(AZ52*Steuern!$H$12-Steuern!$I$12),IF(AZ52&gt;Steuern!$F$12,INT(AZ52*Steuern!$H$14-Steuern!$I$14),0))))</f>
        <v>80058</v>
      </c>
      <c r="BB52" s="241">
        <f t="shared" ref="BB52:BC52" si="181">AC52-AO52</f>
        <v>-7710</v>
      </c>
      <c r="BC52" s="241">
        <f t="shared" si="181"/>
        <v>-7710</v>
      </c>
      <c r="BD52" s="241">
        <f t="shared" si="21"/>
        <v>-2560</v>
      </c>
      <c r="BE52" s="241">
        <f t="shared" si="22"/>
        <v>-3289</v>
      </c>
      <c r="BF52" s="241">
        <f t="shared" ref="BF52:BG52" si="182">AC52-AV52</f>
        <v>-9231</v>
      </c>
      <c r="BG52" s="241">
        <f t="shared" si="182"/>
        <v>-9232</v>
      </c>
      <c r="BH52" s="241">
        <f t="shared" si="24"/>
        <v>-4082</v>
      </c>
      <c r="BI52" s="241">
        <f t="shared" si="25"/>
        <v>-4810</v>
      </c>
      <c r="BJ52" s="241">
        <f t="shared" si="26"/>
        <v>12913.516390757788</v>
      </c>
      <c r="BK52" s="241">
        <f t="shared" si="27"/>
        <v>12913.516390757788</v>
      </c>
      <c r="BL52" s="241">
        <f t="shared" si="28"/>
        <v>5802.1185243146429</v>
      </c>
      <c r="BM52" s="241">
        <f t="shared" si="29"/>
        <v>6807.1580512991113</v>
      </c>
      <c r="BN52" s="241">
        <f t="shared" si="30"/>
        <v>12913.516390757788</v>
      </c>
      <c r="BO52" s="241">
        <f t="shared" si="31"/>
        <v>53724.535316068184</v>
      </c>
      <c r="BP52" s="241">
        <f t="shared" si="32"/>
        <v>12913.516390757788</v>
      </c>
      <c r="BQ52" s="241">
        <f t="shared" si="33"/>
        <v>52431.535316068192</v>
      </c>
      <c r="BR52" s="241">
        <f t="shared" si="34"/>
        <v>5802.1185243146429</v>
      </c>
      <c r="BS52" s="241">
        <f t="shared" si="35"/>
        <v>-39887.782996192065</v>
      </c>
      <c r="BT52" s="241">
        <f t="shared" si="36"/>
        <v>6807.1580512991113</v>
      </c>
      <c r="BU52" s="241">
        <f t="shared" si="37"/>
        <v>-7245.4892734888181</v>
      </c>
      <c r="BV52" s="241">
        <f t="shared" si="38"/>
        <v>15014.41493045698</v>
      </c>
      <c r="BW52" s="241">
        <f t="shared" si="39"/>
        <v>15013.41493045698</v>
      </c>
      <c r="BX52" s="241">
        <f t="shared" si="40"/>
        <v>7902.0170640138349</v>
      </c>
      <c r="BY52" s="241">
        <f t="shared" si="41"/>
        <v>8908.0565909983034</v>
      </c>
      <c r="BZ52" s="241">
        <f t="shared" si="42"/>
        <v>15014.41493045698</v>
      </c>
      <c r="CA52" s="241">
        <f t="shared" si="43"/>
        <v>119447.36084072723</v>
      </c>
      <c r="CB52" s="241">
        <f t="shared" si="44"/>
        <v>15013.41493045698</v>
      </c>
      <c r="CC52" s="241">
        <f t="shared" si="45"/>
        <v>119916.36084072723</v>
      </c>
      <c r="CD52" s="241">
        <f t="shared" si="46"/>
        <v>7902.0170640138349</v>
      </c>
      <c r="CE52" s="241">
        <f t="shared" si="47"/>
        <v>25835.042528466995</v>
      </c>
      <c r="CF52" s="241">
        <f t="shared" si="48"/>
        <v>8908.0565909983034</v>
      </c>
      <c r="CG52" s="241">
        <f t="shared" si="49"/>
        <v>58477.336251170222</v>
      </c>
      <c r="CH52" s="248"/>
      <c r="CI52" s="248"/>
      <c r="CJ52" s="248"/>
      <c r="CK52" s="248"/>
      <c r="CL52" s="248"/>
      <c r="CM52" s="248"/>
      <c r="CN52" s="248"/>
      <c r="CO52" s="248"/>
      <c r="CP52" s="248"/>
      <c r="CQ52" s="248"/>
      <c r="CR52" s="248"/>
      <c r="CS52" s="248"/>
      <c r="CT52" s="248"/>
      <c r="CU52" s="248"/>
      <c r="CV52" s="248"/>
      <c r="CW52" s="248"/>
      <c r="CX52" s="248"/>
      <c r="CY52" s="248"/>
      <c r="CZ52" s="248"/>
      <c r="DA52" s="248"/>
      <c r="DB52" s="248"/>
      <c r="DC52" s="248"/>
      <c r="DD52" s="248"/>
      <c r="DE52" s="248"/>
      <c r="DF52" s="248"/>
      <c r="DG52" s="248"/>
      <c r="DH52" s="248"/>
      <c r="DI52" s="248"/>
      <c r="DJ52" s="248"/>
      <c r="DK52" s="248"/>
      <c r="DL52" s="248"/>
      <c r="DM52" s="248"/>
      <c r="DN52" s="248"/>
      <c r="DO52" s="248"/>
      <c r="DP52" s="248"/>
      <c r="DQ52" s="248"/>
    </row>
    <row r="53" spans="1:121" ht="15.75" customHeight="1">
      <c r="A53" s="243">
        <v>49</v>
      </c>
      <c r="B53" s="244">
        <f>B52*(1+'Immobilie als Kapitalanlage'!$D$47)</f>
        <v>405458.73627636302</v>
      </c>
      <c r="C53" s="241">
        <f>$C$4*(1+'Immobilie als Kapitalanlage'!$D$47)^A53</f>
        <v>0</v>
      </c>
      <c r="D53" s="244">
        <f t="shared" si="69"/>
        <v>405458.73627636302</v>
      </c>
      <c r="E53" s="138"/>
      <c r="F53" s="245">
        <f>MAX(-FV('Immobilie als Kapitalanlage'!$D$26/12,A53*12,(-I53/12),'Immobilie als Kapitalanlage'!$C$25,0),0)</f>
        <v>0</v>
      </c>
      <c r="G53" s="245">
        <f>IF(I53-H53&gt;G52,F52*'Immobilie als Kapitalanlage'!$D$26,I53-H53)</f>
        <v>0</v>
      </c>
      <c r="H53" s="241">
        <f t="shared" si="4"/>
        <v>0</v>
      </c>
      <c r="I53" s="241">
        <f>$F$4*('Immobilie als Kapitalanlage'!$D$26+'Immobilie als Kapitalanlage'!$D$36)</f>
        <v>12450</v>
      </c>
      <c r="J53" s="245">
        <f>MAX((-FV('Immobilie als Kapitalanlage'!$C$85/12,(A53-$A$14)*12,(-M53/12),$J$14,0)),0)</f>
        <v>0</v>
      </c>
      <c r="K53" s="241">
        <f t="shared" si="98"/>
        <v>12261.397866443147</v>
      </c>
      <c r="L53" s="241">
        <f t="shared" si="99"/>
        <v>0</v>
      </c>
      <c r="M53" s="241">
        <f>$J$14*('Immobilie als Kapitalanlage'!$C$85+'Immobilie als Kapitalanlage'!$C$86)</f>
        <v>12261.397866443147</v>
      </c>
      <c r="N53" s="245">
        <f>MAX((-FV('Immobilie als Kapitalanlage'!$C$88/12,(A53-$A$19)*12,(-Q53/12),$N$19,0)),0)</f>
        <v>0</v>
      </c>
      <c r="O53" s="245">
        <f t="shared" si="115"/>
        <v>10527.358339458677</v>
      </c>
      <c r="P53" s="241">
        <f t="shared" si="116"/>
        <v>0</v>
      </c>
      <c r="Q53" s="241">
        <f>$N$19*('Immobilie als Kapitalanlage'!$C$88+'Immobilie als Kapitalanlage'!$C$89)</f>
        <v>10527.358339458677</v>
      </c>
      <c r="R53" s="250">
        <f t="shared" si="6"/>
        <v>-3768.8441375955667</v>
      </c>
      <c r="S53" s="250">
        <f>'Immobilie als Kapitalanlage'!$C$27*12*(1+'Immobilie als Kapitalanlage'!$D$44)^A52</f>
        <v>-633.31483037025987</v>
      </c>
      <c r="T53" s="250">
        <f>'Immobilie als Kapitalanlage'!$C$29*12*(1+'Immobilie als Kapitalanlage'!$D$44)^A52</f>
        <v>-2204.1839684455126</v>
      </c>
      <c r="U53" s="250">
        <f>'Immobilie als Kapitalanlage'!$C$30*12*(1+'Immobilie als Kapitalanlage'!$D$44)^A52</f>
        <v>-931.34533877979402</v>
      </c>
      <c r="V53" s="250">
        <f>'Immobilie als Kapitalanlage'!$C$28*12*(1+'Immobilie als Kapitalanlage'!$D$44)^A52</f>
        <v>-1583.2870759256498</v>
      </c>
      <c r="W53" s="241">
        <f>$W$5*(1+'Immobilie als Kapitalanlage'!$D$43)^A52</f>
        <v>26388.117932094163</v>
      </c>
      <c r="X53" s="241">
        <f>$X$5*(1+'Immobilie als Kapitalanlage'!$D$43)^A52</f>
        <v>30082.454442587339</v>
      </c>
      <c r="Y53" s="241">
        <f>-'Immobilie als Kapitalanlage'!$C$25*'Immobilie als Kapitalanlage'!$D$99</f>
        <v>0</v>
      </c>
      <c r="Z53" s="241">
        <f t="shared" si="7"/>
        <v>0</v>
      </c>
      <c r="AA53" s="241">
        <f>FV((((1+'Immobilie als Kapitalanlage'!$D$80)^(1/12)-1)),A53*12,Y53/12,-'Immobilie als Kapitalanlage'!$G$95,)</f>
        <v>0</v>
      </c>
      <c r="AB53" s="241">
        <f>$AB$5*(1+'Immobilie als Kapitalanlage'!$D$51)^A52</f>
        <v>206965.63083995422</v>
      </c>
      <c r="AC53" s="241">
        <f>IF(AND(AB53&gt;Steuern!$D$6,AB53&lt;Steuern!$D$10),INT((Steuern!$H$8*(AB53-Steuern!$D$6)/10000+Steuern!$I$8)*(AB53-Steuern!$D$6)/10000),IF(AND(AB53&gt;Steuern!$F$8,AB53&lt;Steuern!$D$12),INT((Steuern!$H$10*(AB53-Steuern!$F$8)/10000+Steuern!$I$10)*(AB53-Steuern!$F$8)/10000+Steuern!$J$10),IF(AND(AB53&gt;Steuern!$F$10,AB53&lt;Steuern!$D$14),INT(AB53*Steuern!$H$12-Steuern!$I$12),IF(AB53&gt;Steuern!$F$12,INT(AB53*Steuern!$H$14-Steuern!$I$14),0))))</f>
        <v>76952</v>
      </c>
      <c r="AD53" s="241">
        <f>IF(AND(AB53/2&gt;Steuern!$D$6,AB53/2&lt;Steuern!$D$10),INT((Steuern!$H$8*(AB53/2-Steuern!$D$8)/10000+Steuern!$I$8)*(AB53/2-Steuern!$D$6)/10000),IF(AND(AB53/2&gt;Steuern!$F$8,AB53/2&lt;Steuern!$D$12),INT((Steuern!$H$10*(AB53/2-Steuern!$F$8)/10000+Steuern!$I$10)*(AB53/2-Steuern!$F$8)/10000+Steuern!$J$10),IF(AND(AB53/2&gt;Steuern!$F$10,AB53/2&lt;Steuern!$D$14),INT(AB53/2*Steuern!$H$12-Steuern!$I$12),IF(AB53/2&gt;Steuern!$F$12,INT(AB53/2*Steuern!$H$14-Steuern!$I$14),0))))*2</f>
        <v>66978</v>
      </c>
      <c r="AE53" s="241">
        <f t="shared" si="8"/>
        <v>22619.273794498597</v>
      </c>
      <c r="AF53" s="241">
        <f t="shared" si="9"/>
        <v>10357.87592805545</v>
      </c>
      <c r="AG53" s="241">
        <f t="shared" si="10"/>
        <v>12091.91545503992</v>
      </c>
      <c r="AH53" s="241">
        <f t="shared" si="11"/>
        <v>26313.610304991773</v>
      </c>
      <c r="AI53" s="241">
        <f t="shared" si="12"/>
        <v>14052.212438548626</v>
      </c>
      <c r="AJ53" s="241">
        <f t="shared" si="13"/>
        <v>15786.251965533096</v>
      </c>
      <c r="AK53" s="248"/>
      <c r="AL53" s="241">
        <f>('Immobilie als Kapitalanlage'!$C$16+'Immobilie als Kapitalanlage'!$C$20+'Immobilie als Kapitalanlage'!$C$15)*(1-'Immobilie als Kapitalanlage'!$D$53)</f>
        <v>190858.5</v>
      </c>
      <c r="AM53" s="241">
        <f>AL53*'Immobilie als Kapitalanlage'!$D$52</f>
        <v>3817.17</v>
      </c>
      <c r="AN53" s="241">
        <f t="shared" si="14"/>
        <v>225767.73463445279</v>
      </c>
      <c r="AO53" s="241">
        <f>IF(AND(AN53&gt;Steuern!$D$6,AN53&lt;Steuern!$D$10),INT((Steuern!H48*(AN53-Steuern!$D$8)/10000+Steuern!$I$8)*(AN53-Steuern!$D$6)/10000),IF(AND(AN53&gt;Steuern!$F$8,AN53&lt;Steuern!$D$12),INT((Steuern!$H$10*(AN53-Steuern!$F$8)/10000+Steuern!$I$10)*(AN53-Steuern!$F$8)/10000+Steuern!$J$10),IF(AND(AN53&gt;Steuern!$F$10,AN53&lt;Steuern!$D$14),INT(AN53*Steuern!$H$12-Steuern!$I$12),IF(AN53&gt;Steuern!$F$12,INT(AN53*Steuern!$H$14-Steuern!$I$14),0))))</f>
        <v>84849</v>
      </c>
      <c r="AP53" s="241">
        <f>IF(AND(AN53/2&gt;Steuern!$D$6,AN53/2&lt;Steuern!$D$10),INT((Steuern!$H$8*(AN53/2-Steuern!$D$8)/10000+Steuern!$I$8)*(AN53/2-Steuern!$D$6)/10000),IF(AND(AN53/2&gt;Steuern!$F$8,AN53/2&lt;Steuern!$D$12),INT((Steuern!$H$10*(AN53/2-Steuern!$F$8)/10000+Steuern!$I$10)*(AN53/2-Steuern!$F$8)/10000+Steuern!$J$10),IF(AND(AN53/2&gt;Steuern!$F$10,AN53/2&lt;Steuern!$D$14),INT(AN53/2*Steuern!$H$12-Steuern!$I$12),IF(AN53/2&gt;Steuern!$F$12,INT(AN53/2*Steuern!$H$14-Steuern!$I$14),0))))*2</f>
        <v>74876</v>
      </c>
      <c r="AQ53" s="241">
        <f t="shared" si="15"/>
        <v>213506.33676800964</v>
      </c>
      <c r="AR53" s="241">
        <f>IF(AND(AQ53&gt;Steuern!$D$6,AQ53&lt;Steuern!$D$10),INT((Steuern!$H$8*(AQ53-Steuern!$D$6)/10000+Steuern!$I$8)*(AQ53-Steuern!$D$6)/10000),IF(AND(AQ53&gt;Steuern!$F$8,AQ53&lt;Steuern!$D$12),INT((Steuern!$H$10*(AQ53-Steuern!$F$8)/10000+Steuern!$I$10)*(AQ53-Steuern!$F$8)/10000+Steuern!$J$10),IF(AND(AQ53&gt;Steuern!$F$10,AQ53&lt;Steuern!$D$14),INT(AQ53*Steuern!$H$12-Steuern!$I$12),IF(AQ53&gt;Steuern!$F$12,INT(AQ53*Steuern!$H$14-Steuern!$I$14),0))))</f>
        <v>79699</v>
      </c>
      <c r="AS53" s="241">
        <f t="shared" si="16"/>
        <v>215240.37629499412</v>
      </c>
      <c r="AT53" s="241">
        <f>IF(AND(AS53&gt;Steuern!$D$6,AS53&lt;Steuern!$D$10),INT((Steuern!$H$8*(AS53-Steuern!$D$6)/10000+Steuern!$I$8)*(AS53-Steuern!$D$6)/10000),IF(AND(AS53&gt;Steuern!$F$8,AS53&lt;Steuern!$D$12),INT((Steuern!$H$10*(AS53-Steuern!$F$8)/10000+Steuern!$I$10)*(AS53-Steuern!$F$8)/10000+Steuern!$J$10),IF(AND(AS53&gt;Steuern!$F$10,AS53&lt;Steuern!$D$14),INT(AS53*Steuern!$H$12-Steuern!$I$12),IF(AS53&gt;Steuern!$F$12,INT(AS53*Steuern!$H$14-Steuern!$I$14),0))))</f>
        <v>80427</v>
      </c>
      <c r="AU53" s="241">
        <f t="shared" si="17"/>
        <v>229462.07114494598</v>
      </c>
      <c r="AV53" s="241">
        <f>IF(AND(AU53&gt;Steuern!$D$6,AU53&lt;Steuern!$D$10),INT((Steuern!$H$8*(AU53-Steuern!$D$6)/10000+Steuern!$I$8)*(AU53-Steuern!$D$6)/10000),IF(AND(AU53&gt;Steuern!$F$8,AU53&lt;Steuern!$D$12),INT((Steuern!$H$10*(AU53-Steuern!$F$8)/10000+Steuern!$I$10)*(AU53-Steuern!$F$8)/10000+Steuern!$J$10),IF(AND(AU53&gt;Steuern!$F$10,AU53&lt;Steuern!$D$14),INT(AU53*Steuern!$H$12-Steuern!$I$12),IF(AU53&gt;Steuern!$F$12,INT(AU53*Steuern!$H$14-Steuern!$I$14),0))))</f>
        <v>86401</v>
      </c>
      <c r="AW53" s="241">
        <f>IF(AND(AU53/2&gt;Steuern!$D$6,AU53/2&lt;Steuern!$D$10),INT((Steuern!$H$8*(AU53/2-Steuern!$D$8)/10000+Steuern!$I$8)*(AU53/2-Steuern!$D$6)/10000),IF(AND(AU53/2&gt;Steuern!$F$8,AU53/2&lt;Steuern!$D$12),INT((Steuern!$H$10*(AU53/2-Steuern!$F$8)/10000+Steuern!$I$10)*(AU53/2-Steuern!$F$8)/10000+Steuern!$J$10),IF(AND(AU53/2&gt;Steuern!$F$10,AU53/2&lt;Steuern!$D$14),INT(AU53/2*Steuern!$H$12-Steuern!$I$12),IF(AU53/2&gt;Steuern!$F$12,INT(AU53/2*Steuern!$H$14-Steuern!$I$14),0))))*2</f>
        <v>76428</v>
      </c>
      <c r="AX53" s="241">
        <f t="shared" si="18"/>
        <v>217200.67327850283</v>
      </c>
      <c r="AY53" s="241">
        <f>IF(AND(AX53&gt;Steuern!$D$6,AX53&lt;Steuern!$D$10),INT((Steuern!N48*(AX53-Steuern!$D$8)/10000+Steuern!$I$8)*(AX53-Steuern!$D$6)/10000),IF(AND(AX53&gt;Steuern!$F$8,AX53&lt;Steuern!$D$12),INT((Steuern!$H$10*(AX53-Steuern!$F$8)/10000+Steuern!$I$10)*(AX53-Steuern!$F$8)/10000+Steuern!$J$10),IF(AND(AX53&gt;Steuern!$F$10,AX53&lt;Steuern!$D$14),INT(AX53*Steuern!$H$12-Steuern!$I$12),IF(AX53&gt;Steuern!$F$12,INT(AX53*Steuern!$H$14-Steuern!$I$14),0))))</f>
        <v>81251</v>
      </c>
      <c r="AZ53" s="241">
        <f t="shared" si="19"/>
        <v>218934.7128054873</v>
      </c>
      <c r="BA53" s="241">
        <f>IF(AND(AZ53&gt;Steuern!$D$6,AZ53&lt;Steuern!$D$10),INT((Steuern!P48*(AZ53-Steuern!$D$8)/10000+Steuern!$I$8)*(AZ53-Steuern!$D$6)/10000),IF(AND(AZ53&gt;Steuern!$F$8,AZ53&lt;Steuern!$D$12),INT((Steuern!$H$10*(AZ53-Steuern!$F$8)/10000+Steuern!$I$10)*(AZ53-Steuern!$F$8)/10000+Steuern!$J$10),IF(AND(AZ53&gt;Steuern!$F$10,AZ53&lt;Steuern!$D$14),INT(AZ53*Steuern!$H$12-Steuern!$I$12),IF(AZ53&gt;Steuern!$F$12,INT(AZ53*Steuern!$H$14-Steuern!$I$14),0))))</f>
        <v>81979</v>
      </c>
      <c r="BB53" s="241">
        <f t="shared" ref="BB53:BC53" si="183">AC53-AO53</f>
        <v>-7897</v>
      </c>
      <c r="BC53" s="241">
        <f t="shared" si="183"/>
        <v>-7898</v>
      </c>
      <c r="BD53" s="241">
        <f t="shared" si="21"/>
        <v>-2747</v>
      </c>
      <c r="BE53" s="241">
        <f t="shared" si="22"/>
        <v>-3475</v>
      </c>
      <c r="BF53" s="241">
        <f t="shared" ref="BF53:BG53" si="184">AC53-AV53</f>
        <v>-9449</v>
      </c>
      <c r="BG53" s="241">
        <f t="shared" si="184"/>
        <v>-9450</v>
      </c>
      <c r="BH53" s="241">
        <f t="shared" si="24"/>
        <v>-4299</v>
      </c>
      <c r="BI53" s="241">
        <f t="shared" si="25"/>
        <v>-5027</v>
      </c>
      <c r="BJ53" s="241">
        <f t="shared" si="26"/>
        <v>13138.986718572945</v>
      </c>
      <c r="BK53" s="241">
        <f t="shared" si="27"/>
        <v>13137.986718572945</v>
      </c>
      <c r="BL53" s="241">
        <f t="shared" si="28"/>
        <v>6027.5888521298002</v>
      </c>
      <c r="BM53" s="241">
        <f t="shared" si="29"/>
        <v>7033.6283791142705</v>
      </c>
      <c r="BN53" s="241">
        <f t="shared" si="30"/>
        <v>13138.986718572945</v>
      </c>
      <c r="BO53" s="241">
        <f t="shared" si="31"/>
        <v>66863.522034641122</v>
      </c>
      <c r="BP53" s="241">
        <f t="shared" si="32"/>
        <v>13137.986718572945</v>
      </c>
      <c r="BQ53" s="241">
        <f t="shared" si="33"/>
        <v>65569.522034641137</v>
      </c>
      <c r="BR53" s="241">
        <f t="shared" si="34"/>
        <v>6027.5888521298002</v>
      </c>
      <c r="BS53" s="241">
        <f t="shared" si="35"/>
        <v>-33860.194144062261</v>
      </c>
      <c r="BT53" s="241">
        <f t="shared" si="36"/>
        <v>7033.6283791142705</v>
      </c>
      <c r="BU53" s="241">
        <f t="shared" si="37"/>
        <v>-211.86089437454757</v>
      </c>
      <c r="BV53" s="241">
        <f t="shared" si="38"/>
        <v>15281.323229066122</v>
      </c>
      <c r="BW53" s="241">
        <f t="shared" si="39"/>
        <v>15280.323229066122</v>
      </c>
      <c r="BX53" s="241">
        <f t="shared" si="40"/>
        <v>8169.9253626229765</v>
      </c>
      <c r="BY53" s="241">
        <f t="shared" si="41"/>
        <v>9175.9648896074468</v>
      </c>
      <c r="BZ53" s="241">
        <f t="shared" si="42"/>
        <v>15281.323229066122</v>
      </c>
      <c r="CA53" s="241">
        <f t="shared" si="43"/>
        <v>134728.68406979335</v>
      </c>
      <c r="CB53" s="241">
        <f t="shared" si="44"/>
        <v>15280.323229066122</v>
      </c>
      <c r="CC53" s="241">
        <f t="shared" si="45"/>
        <v>135196.68406979335</v>
      </c>
      <c r="CD53" s="241">
        <f t="shared" si="46"/>
        <v>8169.9253626229765</v>
      </c>
      <c r="CE53" s="241">
        <f t="shared" si="47"/>
        <v>34004.967891089967</v>
      </c>
      <c r="CF53" s="241">
        <f t="shared" si="48"/>
        <v>9175.9648896074468</v>
      </c>
      <c r="CG53" s="241">
        <f t="shared" si="49"/>
        <v>67653.301140777665</v>
      </c>
      <c r="CH53" s="248"/>
      <c r="CI53" s="248"/>
      <c r="CJ53" s="248"/>
      <c r="CK53" s="248"/>
      <c r="CL53" s="248"/>
      <c r="CM53" s="248"/>
      <c r="CN53" s="248"/>
      <c r="CO53" s="248"/>
      <c r="CP53" s="248"/>
      <c r="CQ53" s="248"/>
      <c r="CR53" s="248"/>
      <c r="CS53" s="248"/>
      <c r="CT53" s="248"/>
      <c r="CU53" s="248"/>
      <c r="CV53" s="248"/>
      <c r="CW53" s="248"/>
      <c r="CX53" s="248"/>
      <c r="CY53" s="248"/>
      <c r="CZ53" s="248"/>
      <c r="DA53" s="248"/>
      <c r="DB53" s="248"/>
      <c r="DC53" s="248"/>
      <c r="DD53" s="248"/>
      <c r="DE53" s="248"/>
      <c r="DF53" s="248"/>
      <c r="DG53" s="248"/>
      <c r="DH53" s="248"/>
      <c r="DI53" s="248"/>
      <c r="DJ53" s="248"/>
      <c r="DK53" s="248"/>
      <c r="DL53" s="248"/>
      <c r="DM53" s="248"/>
      <c r="DN53" s="248"/>
      <c r="DO53" s="248"/>
      <c r="DP53" s="248"/>
      <c r="DQ53" s="248"/>
    </row>
    <row r="54" spans="1:121" ht="15.75" customHeight="1">
      <c r="A54" s="233">
        <v>50</v>
      </c>
      <c r="B54" s="234">
        <f>B53*(1+'Immobilie als Kapitalanlage'!$D$47)</f>
        <v>409513.32363912667</v>
      </c>
      <c r="C54" s="235">
        <f>$C$4*(1+'Immobilie als Kapitalanlage'!$D$47)^A54</f>
        <v>0</v>
      </c>
      <c r="D54" s="234">
        <f t="shared" si="69"/>
        <v>409513.32363912667</v>
      </c>
      <c r="E54" s="251"/>
      <c r="F54" s="252">
        <f>MAX(-FV('Immobilie als Kapitalanlage'!$D$26/12,A54*12,(-I54/12),'Immobilie als Kapitalanlage'!$C$25,0),0)</f>
        <v>0</v>
      </c>
      <c r="G54" s="252">
        <f>IF(I54-H54&gt;G53,F53*'Immobilie als Kapitalanlage'!$D$26,I54-H54)</f>
        <v>0</v>
      </c>
      <c r="H54" s="235">
        <f t="shared" si="4"/>
        <v>0</v>
      </c>
      <c r="I54" s="235">
        <f>$F$4*('Immobilie als Kapitalanlage'!$D$26+'Immobilie als Kapitalanlage'!$D$36)</f>
        <v>12450</v>
      </c>
      <c r="J54" s="252">
        <f>MAX((-FV('Immobilie als Kapitalanlage'!$C$85/12,(A54-$A$14)*12,(-M54/12),$J$14,0)),0)</f>
        <v>0</v>
      </c>
      <c r="K54" s="235">
        <f t="shared" si="98"/>
        <v>12261.397866443147</v>
      </c>
      <c r="L54" s="235">
        <f t="shared" si="99"/>
        <v>0</v>
      </c>
      <c r="M54" s="235">
        <f>$J$14*('Immobilie als Kapitalanlage'!$C$85+'Immobilie als Kapitalanlage'!$C$86)</f>
        <v>12261.397866443147</v>
      </c>
      <c r="N54" s="252">
        <f>MAX((-FV('Immobilie als Kapitalanlage'!$C$88/12,(A54-$A$19)*12,(-Q54/12),$N$19,0)),0)</f>
        <v>0</v>
      </c>
      <c r="O54" s="252">
        <f t="shared" si="115"/>
        <v>10527.358339458677</v>
      </c>
      <c r="P54" s="235">
        <f t="shared" si="116"/>
        <v>0</v>
      </c>
      <c r="Q54" s="235">
        <f>$N$19*('Immobilie als Kapitalanlage'!$C$88+'Immobilie als Kapitalanlage'!$C$89)</f>
        <v>10527.358339458677</v>
      </c>
      <c r="R54" s="237">
        <f t="shared" si="6"/>
        <v>-3844.2210203474779</v>
      </c>
      <c r="S54" s="237">
        <f>'Immobilie als Kapitalanlage'!$C$27*12*(1+'Immobilie als Kapitalanlage'!$D$44)^A53</f>
        <v>-645.9811269776651</v>
      </c>
      <c r="T54" s="237">
        <f>'Immobilie als Kapitalanlage'!$C$29*12*(1+'Immobilie als Kapitalanlage'!$D$44)^A53</f>
        <v>-2248.2676478144226</v>
      </c>
      <c r="U54" s="237">
        <f>'Immobilie als Kapitalanlage'!$C$30*12*(1+'Immobilie als Kapitalanlage'!$D$44)^A53</f>
        <v>-949.97224555538992</v>
      </c>
      <c r="V54" s="237">
        <f>'Immobilie als Kapitalanlage'!$C$28*12*(1+'Immobilie als Kapitalanlage'!$D$44)^A53</f>
        <v>-1614.9528174441627</v>
      </c>
      <c r="W54" s="235">
        <f>$W$5*(1+'Immobilie als Kapitalanlage'!$D$43)^A53</f>
        <v>26915.880290736048</v>
      </c>
      <c r="X54" s="235">
        <f>$X$5*(1+'Immobilie als Kapitalanlage'!$D$43)^A53</f>
        <v>30684.10353143909</v>
      </c>
      <c r="Y54" s="235">
        <f>-'Immobilie als Kapitalanlage'!$C$25*'Immobilie als Kapitalanlage'!$D$99</f>
        <v>0</v>
      </c>
      <c r="Z54" s="235">
        <f t="shared" si="7"/>
        <v>0</v>
      </c>
      <c r="AA54" s="235">
        <f>FV((((1+'Immobilie als Kapitalanlage'!$D$80)^(1/12)-1)),A54*12,Y54/12,-'Immobilie als Kapitalanlage'!$G$95,)</f>
        <v>0</v>
      </c>
      <c r="AB54" s="235">
        <f>$AB$5*(1+'Immobilie als Kapitalanlage'!$D$51)^A53</f>
        <v>211104.9434567533</v>
      </c>
      <c r="AC54" s="235">
        <f>IF(AND(AB54&gt;Steuern!$D$6,AB54&lt;Steuern!$D$10),INT((Steuern!$H$8*(AB54-Steuern!$D$6)/10000+Steuern!$I$8)*(AB54-Steuern!$D$6)/10000),IF(AND(AB54&gt;Steuern!$F$8,AB54&lt;Steuern!$D$12),INT((Steuern!$H$10*(AB54-Steuern!$F$8)/10000+Steuern!$I$10)*(AB54-Steuern!$F$8)/10000+Steuern!$J$10),IF(AND(AB54&gt;Steuern!$F$10,AB54&lt;Steuern!$D$14),INT(AB54*Steuern!$H$12-Steuern!$I$12),IF(AB54&gt;Steuern!$F$12,INT(AB54*Steuern!$H$14-Steuern!$I$14),0))))</f>
        <v>78691</v>
      </c>
      <c r="AD54" s="235">
        <f>IF(AND(AB54/2&gt;Steuern!$D$6,AB54/2&lt;Steuern!$D$10),INT((Steuern!$H$8*(AB54/2-Steuern!$D$8)/10000+Steuern!$I$8)*(AB54/2-Steuern!$D$6)/10000),IF(AND(AB54/2&gt;Steuern!$F$8,AB54/2&lt;Steuern!$D$12),INT((Steuern!$H$10*(AB54/2-Steuern!$F$8)/10000+Steuern!$I$10)*(AB54/2-Steuern!$F$8)/10000+Steuern!$J$10),IF(AND(AB54/2&gt;Steuern!$F$10,AB54/2&lt;Steuern!$D$14),INT(AB54/2*Steuern!$H$12-Steuern!$I$12),IF(AB54/2&gt;Steuern!$F$12,INT(AB54/2*Steuern!$H$14-Steuern!$I$14),0))))*2</f>
        <v>68718</v>
      </c>
      <c r="AE54" s="235">
        <f t="shared" si="8"/>
        <v>23071.659270388569</v>
      </c>
      <c r="AF54" s="235">
        <f t="shared" si="9"/>
        <v>10810.261403945424</v>
      </c>
      <c r="AG54" s="235">
        <f t="shared" si="10"/>
        <v>12544.300930929894</v>
      </c>
      <c r="AH54" s="235">
        <f t="shared" si="11"/>
        <v>26839.882511091611</v>
      </c>
      <c r="AI54" s="235">
        <f t="shared" si="12"/>
        <v>14578.484644648466</v>
      </c>
      <c r="AJ54" s="235">
        <f t="shared" si="13"/>
        <v>16312.524171632936</v>
      </c>
      <c r="AK54" s="254"/>
      <c r="AL54" s="235">
        <f>('Immobilie als Kapitalanlage'!$C$16+'Immobilie als Kapitalanlage'!$C$20+'Immobilie als Kapitalanlage'!$C$15)*(1-'Immobilie als Kapitalanlage'!$D$53)</f>
        <v>190858.5</v>
      </c>
      <c r="AM54" s="235">
        <f>AL54*'Immobilie als Kapitalanlage'!$D$52</f>
        <v>3817.17</v>
      </c>
      <c r="AN54" s="235">
        <f t="shared" si="14"/>
        <v>230359.43272714186</v>
      </c>
      <c r="AO54" s="235">
        <f>IF(AND(AN54&gt;Steuern!$D$6,AN54&lt;Steuern!$D$10),INT((Steuern!H49*(AN54-Steuern!$D$8)/10000+Steuern!$I$8)*(AN54-Steuern!$D$6)/10000),IF(AND(AN54&gt;Steuern!$F$8,AN54&lt;Steuern!$D$12),INT((Steuern!$H$10*(AN54-Steuern!$F$8)/10000+Steuern!$I$10)*(AN54-Steuern!$F$8)/10000+Steuern!$J$10),IF(AND(AN54&gt;Steuern!$F$10,AN54&lt;Steuern!$D$14),INT(AN54*Steuern!$H$12-Steuern!$I$12),IF(AN54&gt;Steuern!$F$12,INT(AN54*Steuern!$H$14-Steuern!$I$14),0))))</f>
        <v>86777</v>
      </c>
      <c r="AP54" s="235">
        <f>IF(AND(AN54/2&gt;Steuern!$D$6,AN54/2&lt;Steuern!$D$10),INT((Steuern!$H$8*(AN54/2-Steuern!$D$8)/10000+Steuern!$I$8)*(AN54/2-Steuern!$D$6)/10000),IF(AND(AN54/2&gt;Steuern!$F$8,AN54/2&lt;Steuern!$D$12),INT((Steuern!$H$10*(AN54/2-Steuern!$F$8)/10000+Steuern!$I$10)*(AN54/2-Steuern!$F$8)/10000+Steuern!$J$10),IF(AND(AN54/2&gt;Steuern!$F$10,AN54/2&lt;Steuern!$D$14),INT(AN54/2*Steuern!$H$12-Steuern!$I$12),IF(AN54/2&gt;Steuern!$F$12,INT(AN54/2*Steuern!$H$14-Steuern!$I$14),0))))*2</f>
        <v>76804</v>
      </c>
      <c r="AQ54" s="235">
        <f t="shared" si="15"/>
        <v>218098.03486069871</v>
      </c>
      <c r="AR54" s="235">
        <f>IF(AND(AQ54&gt;Steuern!$D$6,AQ54&lt;Steuern!$D$10),INT((Steuern!$H$8*(AQ54-Steuern!$D$6)/10000+Steuern!$I$8)*(AQ54-Steuern!$D$6)/10000),IF(AND(AQ54&gt;Steuern!$F$8,AQ54&lt;Steuern!$D$12),INT((Steuern!$H$10*(AQ54-Steuern!$F$8)/10000+Steuern!$I$10)*(AQ54-Steuern!$F$8)/10000+Steuern!$J$10),IF(AND(AQ54&gt;Steuern!$F$10,AQ54&lt;Steuern!$D$14),INT(AQ54*Steuern!$H$12-Steuern!$I$12),IF(AQ54&gt;Steuern!$F$12,INT(AQ54*Steuern!$H$14-Steuern!$I$14),0))))</f>
        <v>81628</v>
      </c>
      <c r="AS54" s="235">
        <f t="shared" si="16"/>
        <v>219832.07438768318</v>
      </c>
      <c r="AT54" s="235">
        <f>IF(AND(AS54&gt;Steuern!$D$6,AS54&lt;Steuern!$D$10),INT((Steuern!$H$8*(AS54-Steuern!$D$6)/10000+Steuern!$I$8)*(AS54-Steuern!$D$6)/10000),IF(AND(AS54&gt;Steuern!$F$8,AS54&lt;Steuern!$D$12),INT((Steuern!$H$10*(AS54-Steuern!$F$8)/10000+Steuern!$I$10)*(AS54-Steuern!$F$8)/10000+Steuern!$J$10),IF(AND(AS54&gt;Steuern!$F$10,AS54&lt;Steuern!$D$14),INT(AS54*Steuern!$H$12-Steuern!$I$12),IF(AS54&gt;Steuern!$F$12,INT(AS54*Steuern!$H$14-Steuern!$I$14),0))))</f>
        <v>82356</v>
      </c>
      <c r="AU54" s="235">
        <f t="shared" si="17"/>
        <v>234127.65596784491</v>
      </c>
      <c r="AV54" s="235">
        <f>IF(AND(AU54&gt;Steuern!$D$6,AU54&lt;Steuern!$D$10),INT((Steuern!$H$8*(AU54-Steuern!$D$6)/10000+Steuern!$I$8)*(AU54-Steuern!$D$6)/10000),IF(AND(AU54&gt;Steuern!$F$8,AU54&lt;Steuern!$D$12),INT((Steuern!$H$10*(AU54-Steuern!$F$8)/10000+Steuern!$I$10)*(AU54-Steuern!$F$8)/10000+Steuern!$J$10),IF(AND(AU54&gt;Steuern!$F$10,AU54&lt;Steuern!$D$14),INT(AU54*Steuern!$H$12-Steuern!$I$12),IF(AU54&gt;Steuern!$F$12,INT(AU54*Steuern!$H$14-Steuern!$I$14),0))))</f>
        <v>88360</v>
      </c>
      <c r="AW54" s="235">
        <f>IF(AND(AU54/2&gt;Steuern!$D$6,AU54/2&lt;Steuern!$D$10),INT((Steuern!$H$8*(AU54/2-Steuern!$D$8)/10000+Steuern!$I$8)*(AU54/2-Steuern!$D$6)/10000),IF(AND(AU54/2&gt;Steuern!$F$8,AU54/2&lt;Steuern!$D$12),INT((Steuern!$H$10*(AU54/2-Steuern!$F$8)/10000+Steuern!$I$10)*(AU54/2-Steuern!$F$8)/10000+Steuern!$J$10),IF(AND(AU54/2&gt;Steuern!$F$10,AU54/2&lt;Steuern!$D$14),INT(AU54/2*Steuern!$H$12-Steuern!$I$12),IF(AU54/2&gt;Steuern!$F$12,INT(AU54/2*Steuern!$H$14-Steuern!$I$14),0))))*2</f>
        <v>78386</v>
      </c>
      <c r="AX54" s="235">
        <f t="shared" si="18"/>
        <v>221866.25810140176</v>
      </c>
      <c r="AY54" s="235">
        <f>IF(AND(AX54&gt;Steuern!$D$6,AX54&lt;Steuern!$D$10),INT((Steuern!N49*(AX54-Steuern!$D$8)/10000+Steuern!$I$8)*(AX54-Steuern!$D$6)/10000),IF(AND(AX54&gt;Steuern!$F$8,AX54&lt;Steuern!$D$12),INT((Steuern!$H$10*(AX54-Steuern!$F$8)/10000+Steuern!$I$10)*(AX54-Steuern!$F$8)/10000+Steuern!$J$10),IF(AND(AX54&gt;Steuern!$F$10,AX54&lt;Steuern!$D$14),INT(AX54*Steuern!$H$12-Steuern!$I$12),IF(AX54&gt;Steuern!$F$12,INT(AX54*Steuern!$H$14-Steuern!$I$14),0))))</f>
        <v>83210</v>
      </c>
      <c r="AZ54" s="235">
        <f t="shared" si="19"/>
        <v>223600.29762838624</v>
      </c>
      <c r="BA54" s="235">
        <f>IF(AND(AZ54&gt;Steuern!$D$6,AZ54&lt;Steuern!$D$10),INT((Steuern!P49*(AZ54-Steuern!$D$8)/10000+Steuern!$I$8)*(AZ54-Steuern!$D$6)/10000),IF(AND(AZ54&gt;Steuern!$F$8,AZ54&lt;Steuern!$D$12),INT((Steuern!$H$10*(AZ54-Steuern!$F$8)/10000+Steuern!$I$10)*(AZ54-Steuern!$F$8)/10000+Steuern!$J$10),IF(AND(AZ54&gt;Steuern!$F$10,AZ54&lt;Steuern!$D$14),INT(AZ54*Steuern!$H$12-Steuern!$I$12),IF(AZ54&gt;Steuern!$F$12,INT(AZ54*Steuern!$H$14-Steuern!$I$14),0))))</f>
        <v>83939</v>
      </c>
      <c r="BB54" s="235">
        <f t="shared" ref="BB54:BC54" si="185">AC54-AO54</f>
        <v>-8086</v>
      </c>
      <c r="BC54" s="235">
        <f t="shared" si="185"/>
        <v>-8086</v>
      </c>
      <c r="BD54" s="235">
        <f t="shared" si="21"/>
        <v>-2937</v>
      </c>
      <c r="BE54" s="235">
        <f t="shared" si="22"/>
        <v>-3665</v>
      </c>
      <c r="BF54" s="235">
        <f t="shared" ref="BF54:BG54" si="186">AC54-AV54</f>
        <v>-9669</v>
      </c>
      <c r="BG54" s="235">
        <f t="shared" si="186"/>
        <v>-9668</v>
      </c>
      <c r="BH54" s="235">
        <f t="shared" si="24"/>
        <v>-4519</v>
      </c>
      <c r="BI54" s="235">
        <f t="shared" si="25"/>
        <v>-5248</v>
      </c>
      <c r="BJ54" s="235">
        <f t="shared" si="26"/>
        <v>13370.706452944407</v>
      </c>
      <c r="BK54" s="235">
        <f t="shared" si="27"/>
        <v>13370.706452944407</v>
      </c>
      <c r="BL54" s="235">
        <f t="shared" si="28"/>
        <v>6258.3085865012617</v>
      </c>
      <c r="BM54" s="235">
        <f t="shared" si="29"/>
        <v>7264.348113485732</v>
      </c>
      <c r="BN54" s="235">
        <f t="shared" si="30"/>
        <v>13370.706452944407</v>
      </c>
      <c r="BO54" s="235">
        <f t="shared" si="31"/>
        <v>80234.228487585526</v>
      </c>
      <c r="BP54" s="235">
        <f t="shared" si="32"/>
        <v>13370.706452944407</v>
      </c>
      <c r="BQ54" s="235">
        <f t="shared" si="33"/>
        <v>78940.22848758554</v>
      </c>
      <c r="BR54" s="235">
        <f t="shared" si="34"/>
        <v>6258.3085865012617</v>
      </c>
      <c r="BS54" s="235">
        <f t="shared" si="35"/>
        <v>-27601.885557561</v>
      </c>
      <c r="BT54" s="235">
        <f t="shared" si="36"/>
        <v>7264.348113485732</v>
      </c>
      <c r="BU54" s="235">
        <f t="shared" si="37"/>
        <v>7052.4872191111845</v>
      </c>
      <c r="BV54" s="235">
        <f t="shared" si="38"/>
        <v>15555.929693647449</v>
      </c>
      <c r="BW54" s="235">
        <f t="shared" si="39"/>
        <v>15556.929693647449</v>
      </c>
      <c r="BX54" s="235">
        <f t="shared" si="40"/>
        <v>8444.5318272043041</v>
      </c>
      <c r="BY54" s="235">
        <f t="shared" si="41"/>
        <v>9449.5713541887744</v>
      </c>
      <c r="BZ54" s="235">
        <f t="shared" si="42"/>
        <v>15555.929693647449</v>
      </c>
      <c r="CA54" s="235">
        <f t="shared" si="43"/>
        <v>150284.61376344081</v>
      </c>
      <c r="CB54" s="235">
        <f t="shared" si="44"/>
        <v>15556.929693647449</v>
      </c>
      <c r="CC54" s="235">
        <f t="shared" si="45"/>
        <v>150753.61376344081</v>
      </c>
      <c r="CD54" s="235">
        <f t="shared" si="46"/>
        <v>8444.5318272043041</v>
      </c>
      <c r="CE54" s="235">
        <f t="shared" si="47"/>
        <v>42449.499718294275</v>
      </c>
      <c r="CF54" s="235">
        <f t="shared" si="48"/>
        <v>9449.5713541887744</v>
      </c>
      <c r="CG54" s="235">
        <f t="shared" si="49"/>
        <v>77102.872494966432</v>
      </c>
      <c r="CH54" s="254"/>
      <c r="CI54" s="254"/>
      <c r="CJ54" s="254"/>
      <c r="CK54" s="254"/>
      <c r="CL54" s="254"/>
      <c r="CM54" s="254"/>
      <c r="CN54" s="254"/>
      <c r="CO54" s="254"/>
      <c r="CP54" s="254"/>
      <c r="CQ54" s="254"/>
      <c r="CR54" s="254"/>
      <c r="CS54" s="254"/>
      <c r="CT54" s="254"/>
      <c r="CU54" s="254"/>
      <c r="CV54" s="254"/>
      <c r="CW54" s="254"/>
      <c r="CX54" s="254"/>
      <c r="CY54" s="254"/>
      <c r="CZ54" s="254"/>
      <c r="DA54" s="254"/>
      <c r="DB54" s="254"/>
      <c r="DC54" s="254"/>
      <c r="DD54" s="254"/>
      <c r="DE54" s="254"/>
      <c r="DF54" s="254"/>
      <c r="DG54" s="254"/>
      <c r="DH54" s="254"/>
      <c r="DI54" s="254"/>
      <c r="DJ54" s="254"/>
      <c r="DK54" s="254"/>
      <c r="DL54" s="254"/>
      <c r="DM54" s="254"/>
      <c r="DN54" s="254"/>
      <c r="DO54" s="254"/>
      <c r="DP54" s="254"/>
      <c r="DQ54" s="254"/>
    </row>
    <row r="55" spans="1:121" ht="15.75" customHeight="1">
      <c r="A55" s="243">
        <v>51</v>
      </c>
      <c r="B55" s="248"/>
      <c r="C55" s="248"/>
      <c r="D55" s="248"/>
      <c r="E55" s="248"/>
      <c r="F55" s="248"/>
      <c r="G55" s="248"/>
      <c r="H55" s="248"/>
      <c r="I55" s="248"/>
      <c r="J55" s="248"/>
      <c r="K55" s="248"/>
      <c r="L55" s="248"/>
      <c r="M55" s="248"/>
      <c r="N55" s="248"/>
      <c r="O55" s="248"/>
      <c r="P55" s="248"/>
      <c r="Q55" s="248"/>
      <c r="R55" s="248"/>
      <c r="S55" s="248"/>
      <c r="T55" s="248"/>
      <c r="U55" s="248"/>
      <c r="V55" s="248"/>
      <c r="W55" s="248"/>
      <c r="X55" s="248"/>
      <c r="Y55" s="248"/>
      <c r="Z55" s="248"/>
      <c r="AA55" s="248"/>
      <c r="AB55" s="248"/>
      <c r="AC55" s="248"/>
      <c r="AD55" s="248"/>
      <c r="AE55" s="248"/>
      <c r="AF55" s="248"/>
      <c r="AG55" s="248"/>
      <c r="AH55" s="248"/>
      <c r="AI55" s="248"/>
      <c r="AJ55" s="248"/>
      <c r="AK55" s="248"/>
      <c r="AL55" s="248"/>
      <c r="AM55" s="248"/>
      <c r="AN55" s="248"/>
      <c r="AO55" s="248"/>
      <c r="AP55" s="248"/>
      <c r="AQ55" s="248"/>
      <c r="AR55" s="248"/>
      <c r="AS55" s="248"/>
      <c r="AT55" s="248"/>
      <c r="AU55" s="248"/>
      <c r="AV55" s="248"/>
      <c r="AW55" s="248"/>
      <c r="AX55" s="248"/>
      <c r="AY55" s="248"/>
      <c r="AZ55" s="248"/>
      <c r="BA55" s="248"/>
      <c r="BB55" s="248"/>
      <c r="BC55" s="248"/>
      <c r="BD55" s="248"/>
      <c r="BE55" s="248"/>
      <c r="BF55" s="248"/>
      <c r="BG55" s="248"/>
      <c r="BH55" s="248"/>
      <c r="BI55" s="248"/>
      <c r="BJ55" s="248"/>
      <c r="BK55" s="248"/>
      <c r="BL55" s="248"/>
      <c r="BM55" s="248"/>
      <c r="BN55" s="248"/>
      <c r="BO55" s="248"/>
      <c r="BP55" s="248"/>
      <c r="BQ55" s="248"/>
      <c r="BR55" s="248"/>
      <c r="BS55" s="248"/>
      <c r="BT55" s="248"/>
      <c r="BU55" s="248"/>
      <c r="BV55" s="248"/>
      <c r="BW55" s="248"/>
      <c r="BX55" s="248"/>
      <c r="BY55" s="248"/>
      <c r="BZ55" s="248"/>
      <c r="CA55" s="248"/>
      <c r="CB55" s="248"/>
      <c r="CC55" s="248"/>
      <c r="CD55" s="248"/>
      <c r="CE55" s="248"/>
      <c r="CF55" s="248"/>
      <c r="CG55" s="248"/>
      <c r="CH55" s="248"/>
      <c r="CI55" s="248"/>
      <c r="CJ55" s="248"/>
      <c r="CK55" s="248"/>
      <c r="CL55" s="248"/>
      <c r="CM55" s="248"/>
      <c r="CN55" s="248"/>
      <c r="CO55" s="248"/>
      <c r="CP55" s="248"/>
      <c r="CQ55" s="248"/>
      <c r="CR55" s="248"/>
      <c r="CS55" s="248"/>
      <c r="CT55" s="248"/>
      <c r="CU55" s="248"/>
      <c r="CV55" s="248"/>
      <c r="CW55" s="248"/>
      <c r="CX55" s="248"/>
      <c r="CY55" s="248"/>
      <c r="CZ55" s="248"/>
      <c r="DA55" s="248"/>
      <c r="DB55" s="248"/>
      <c r="DC55" s="248"/>
      <c r="DD55" s="248"/>
      <c r="DE55" s="248"/>
      <c r="DF55" s="248"/>
      <c r="DG55" s="248"/>
      <c r="DH55" s="248"/>
      <c r="DI55" s="248"/>
      <c r="DJ55" s="248"/>
      <c r="DK55" s="248"/>
      <c r="DL55" s="248"/>
      <c r="DM55" s="248"/>
      <c r="DN55" s="248"/>
      <c r="DO55" s="248"/>
      <c r="DP55" s="248"/>
      <c r="DQ55" s="248"/>
    </row>
    <row r="56" spans="1:121" ht="15.75" customHeight="1">
      <c r="A56" s="243">
        <v>52</v>
      </c>
      <c r="B56" s="248"/>
      <c r="C56" s="248"/>
      <c r="D56" s="248"/>
      <c r="E56" s="248"/>
      <c r="F56" s="248"/>
      <c r="G56" s="248"/>
      <c r="H56" s="248"/>
      <c r="I56" s="248"/>
      <c r="J56" s="248"/>
      <c r="K56" s="248"/>
      <c r="L56" s="248"/>
      <c r="M56" s="248"/>
      <c r="N56" s="248"/>
      <c r="O56" s="248"/>
      <c r="P56" s="248"/>
      <c r="Q56" s="248"/>
      <c r="R56" s="248"/>
      <c r="S56" s="248"/>
      <c r="T56" s="248"/>
      <c r="U56" s="248"/>
      <c r="V56" s="248"/>
      <c r="W56" s="248"/>
      <c r="X56" s="248"/>
      <c r="Y56" s="248"/>
      <c r="Z56" s="248"/>
      <c r="AA56" s="248"/>
      <c r="AB56" s="248"/>
      <c r="AC56" s="248"/>
      <c r="AD56" s="248"/>
      <c r="AE56" s="248"/>
      <c r="AF56" s="248"/>
      <c r="AG56" s="248"/>
      <c r="AH56" s="248"/>
      <c r="AI56" s="248"/>
      <c r="AJ56" s="248"/>
      <c r="AK56" s="248"/>
      <c r="AL56" s="248"/>
      <c r="AM56" s="248"/>
      <c r="AN56" s="248"/>
      <c r="AO56" s="248"/>
      <c r="AP56" s="248"/>
      <c r="AQ56" s="248"/>
      <c r="AR56" s="248"/>
      <c r="AS56" s="248"/>
      <c r="AT56" s="248"/>
      <c r="AU56" s="248"/>
      <c r="AV56" s="248"/>
      <c r="AW56" s="248"/>
      <c r="AX56" s="248"/>
      <c r="AY56" s="248"/>
      <c r="AZ56" s="248"/>
      <c r="BA56" s="248"/>
      <c r="BB56" s="248"/>
      <c r="BC56" s="248"/>
      <c r="BD56" s="248"/>
      <c r="BE56" s="248"/>
      <c r="BF56" s="248"/>
      <c r="BG56" s="248"/>
      <c r="BH56" s="248"/>
      <c r="BI56" s="248"/>
      <c r="BJ56" s="248"/>
      <c r="BK56" s="248"/>
      <c r="BL56" s="248"/>
      <c r="BM56" s="248"/>
      <c r="BN56" s="248"/>
      <c r="BO56" s="248"/>
      <c r="BP56" s="248"/>
      <c r="BQ56" s="248"/>
      <c r="BR56" s="248"/>
      <c r="BS56" s="248"/>
      <c r="BT56" s="248"/>
      <c r="BU56" s="248"/>
      <c r="BV56" s="248"/>
      <c r="BW56" s="248"/>
      <c r="BX56" s="248"/>
      <c r="BY56" s="248"/>
      <c r="BZ56" s="248"/>
      <c r="CA56" s="248"/>
      <c r="CB56" s="248"/>
      <c r="CC56" s="248"/>
      <c r="CD56" s="248"/>
      <c r="CE56" s="248"/>
      <c r="CF56" s="248"/>
      <c r="CG56" s="248"/>
      <c r="CH56" s="248"/>
      <c r="CI56" s="248"/>
      <c r="CJ56" s="248"/>
      <c r="CK56" s="248"/>
      <c r="CL56" s="248"/>
      <c r="CM56" s="248"/>
      <c r="CN56" s="248"/>
      <c r="CO56" s="248"/>
      <c r="CP56" s="248"/>
      <c r="CQ56" s="248"/>
      <c r="CR56" s="248"/>
      <c r="CS56" s="248"/>
      <c r="CT56" s="248"/>
      <c r="CU56" s="248"/>
      <c r="CV56" s="248"/>
      <c r="CW56" s="248"/>
      <c r="CX56" s="248"/>
      <c r="CY56" s="248"/>
      <c r="CZ56" s="248"/>
      <c r="DA56" s="248"/>
      <c r="DB56" s="248"/>
      <c r="DC56" s="248"/>
      <c r="DD56" s="248"/>
      <c r="DE56" s="248"/>
      <c r="DF56" s="248"/>
      <c r="DG56" s="248"/>
      <c r="DH56" s="248"/>
      <c r="DI56" s="248"/>
      <c r="DJ56" s="248"/>
      <c r="DK56" s="248"/>
      <c r="DL56" s="248"/>
      <c r="DM56" s="248"/>
      <c r="DN56" s="248"/>
      <c r="DO56" s="248"/>
      <c r="DP56" s="248"/>
      <c r="DQ56" s="248"/>
    </row>
    <row r="57" spans="1:121" ht="15.75" customHeight="1">
      <c r="A57" s="243">
        <v>53</v>
      </c>
      <c r="B57" s="248"/>
      <c r="C57" s="248"/>
      <c r="D57" s="248"/>
      <c r="E57" s="248"/>
      <c r="F57" s="248"/>
      <c r="G57" s="248"/>
      <c r="H57" s="248"/>
      <c r="I57" s="248"/>
      <c r="J57" s="248"/>
      <c r="K57" s="248"/>
      <c r="L57" s="248"/>
      <c r="M57" s="248"/>
      <c r="N57" s="248"/>
      <c r="O57" s="248"/>
      <c r="P57" s="248"/>
      <c r="Q57" s="248"/>
      <c r="R57" s="248"/>
      <c r="S57" s="248"/>
      <c r="T57" s="248"/>
      <c r="U57" s="248"/>
      <c r="V57" s="248"/>
      <c r="W57" s="248"/>
      <c r="X57" s="248"/>
      <c r="Y57" s="248"/>
      <c r="Z57" s="248"/>
      <c r="AA57" s="248"/>
      <c r="AB57" s="248"/>
      <c r="AC57" s="248"/>
      <c r="AD57" s="248"/>
      <c r="AE57" s="248"/>
      <c r="AF57" s="248"/>
      <c r="AG57" s="248"/>
      <c r="AH57" s="248"/>
      <c r="AI57" s="248"/>
      <c r="AJ57" s="248"/>
      <c r="AK57" s="248"/>
      <c r="AL57" s="248"/>
      <c r="AM57" s="248"/>
      <c r="AN57" s="248"/>
      <c r="AO57" s="248"/>
      <c r="AP57" s="248"/>
      <c r="AQ57" s="248"/>
      <c r="AR57" s="248"/>
      <c r="AS57" s="248"/>
      <c r="AT57" s="248"/>
      <c r="AU57" s="248"/>
      <c r="AV57" s="248"/>
      <c r="AW57" s="248"/>
      <c r="AX57" s="248"/>
      <c r="AY57" s="248"/>
      <c r="AZ57" s="248"/>
      <c r="BA57" s="248"/>
      <c r="BB57" s="248"/>
      <c r="BC57" s="248"/>
      <c r="BD57" s="248"/>
      <c r="BE57" s="248"/>
      <c r="BF57" s="248"/>
      <c r="BG57" s="248"/>
      <c r="BH57" s="248"/>
      <c r="BI57" s="248"/>
      <c r="BJ57" s="248"/>
      <c r="BK57" s="248"/>
      <c r="BL57" s="248"/>
      <c r="BM57" s="248"/>
      <c r="BN57" s="248"/>
      <c r="BO57" s="248"/>
      <c r="BP57" s="248"/>
      <c r="BQ57" s="248"/>
      <c r="BR57" s="248"/>
      <c r="BS57" s="248"/>
      <c r="BT57" s="248"/>
      <c r="BU57" s="248"/>
      <c r="BV57" s="248"/>
      <c r="BW57" s="248"/>
      <c r="BX57" s="248"/>
      <c r="BY57" s="248"/>
      <c r="BZ57" s="248"/>
      <c r="CA57" s="248"/>
      <c r="CB57" s="248"/>
      <c r="CC57" s="248"/>
      <c r="CD57" s="248"/>
      <c r="CE57" s="248"/>
      <c r="CF57" s="248"/>
      <c r="CG57" s="248"/>
      <c r="CH57" s="248"/>
      <c r="CI57" s="248"/>
      <c r="CJ57" s="248"/>
      <c r="CK57" s="248"/>
      <c r="CL57" s="248"/>
      <c r="CM57" s="248"/>
      <c r="CN57" s="248"/>
      <c r="CO57" s="248"/>
      <c r="CP57" s="248"/>
      <c r="CQ57" s="248"/>
      <c r="CR57" s="248"/>
      <c r="CS57" s="248"/>
      <c r="CT57" s="248"/>
      <c r="CU57" s="248"/>
      <c r="CV57" s="248"/>
      <c r="CW57" s="248"/>
      <c r="CX57" s="248"/>
      <c r="CY57" s="248"/>
      <c r="CZ57" s="248"/>
      <c r="DA57" s="248"/>
      <c r="DB57" s="248"/>
      <c r="DC57" s="248"/>
      <c r="DD57" s="248"/>
      <c r="DE57" s="248"/>
      <c r="DF57" s="248"/>
      <c r="DG57" s="248"/>
      <c r="DH57" s="248"/>
      <c r="DI57" s="248"/>
      <c r="DJ57" s="248"/>
      <c r="DK57" s="248"/>
      <c r="DL57" s="248"/>
      <c r="DM57" s="248"/>
      <c r="DN57" s="248"/>
      <c r="DO57" s="248"/>
      <c r="DP57" s="248"/>
      <c r="DQ57" s="248"/>
    </row>
    <row r="58" spans="1:121" ht="15.75" customHeight="1">
      <c r="A58" s="243">
        <v>54</v>
      </c>
      <c r="B58" s="248"/>
      <c r="C58" s="248"/>
      <c r="D58" s="248"/>
      <c r="E58" s="248"/>
      <c r="F58" s="248"/>
      <c r="G58" s="248"/>
      <c r="H58" s="248"/>
      <c r="I58" s="248"/>
      <c r="J58" s="248"/>
      <c r="K58" s="248"/>
      <c r="L58" s="248"/>
      <c r="M58" s="248"/>
      <c r="N58" s="248"/>
      <c r="O58" s="248"/>
      <c r="P58" s="248"/>
      <c r="Q58" s="248"/>
      <c r="R58" s="248"/>
      <c r="S58" s="248"/>
      <c r="T58" s="248"/>
      <c r="U58" s="248"/>
      <c r="V58" s="248"/>
      <c r="W58" s="248"/>
      <c r="X58" s="248"/>
      <c r="Y58" s="248"/>
      <c r="Z58" s="248"/>
      <c r="AA58" s="248"/>
      <c r="AB58" s="248"/>
      <c r="AC58" s="248"/>
      <c r="AD58" s="248"/>
      <c r="AE58" s="248"/>
      <c r="AF58" s="248"/>
      <c r="AG58" s="248"/>
      <c r="AH58" s="248"/>
      <c r="AI58" s="248"/>
      <c r="AJ58" s="248"/>
      <c r="AK58" s="248"/>
      <c r="AL58" s="248"/>
      <c r="AM58" s="248"/>
      <c r="AN58" s="248"/>
      <c r="AO58" s="248"/>
      <c r="AP58" s="248"/>
      <c r="AQ58" s="248"/>
      <c r="AR58" s="248"/>
      <c r="AS58" s="248"/>
      <c r="AT58" s="248"/>
      <c r="AU58" s="248"/>
      <c r="AV58" s="248"/>
      <c r="AW58" s="248"/>
      <c r="AX58" s="248"/>
      <c r="AY58" s="248"/>
      <c r="AZ58" s="248"/>
      <c r="BA58" s="248"/>
      <c r="BB58" s="248"/>
      <c r="BC58" s="248"/>
      <c r="BD58" s="248"/>
      <c r="BE58" s="248"/>
      <c r="BF58" s="248"/>
      <c r="BG58" s="248"/>
      <c r="BH58" s="248"/>
      <c r="BI58" s="248"/>
      <c r="BJ58" s="248"/>
      <c r="BK58" s="248"/>
      <c r="BL58" s="248"/>
      <c r="BM58" s="248"/>
      <c r="BN58" s="248"/>
      <c r="BO58" s="248"/>
      <c r="BP58" s="248"/>
      <c r="BQ58" s="248"/>
      <c r="BR58" s="248"/>
      <c r="BS58" s="248"/>
      <c r="BT58" s="248"/>
      <c r="BU58" s="248"/>
      <c r="BV58" s="248"/>
      <c r="BW58" s="248"/>
      <c r="BX58" s="248"/>
      <c r="BY58" s="248"/>
      <c r="BZ58" s="248"/>
      <c r="CA58" s="248"/>
      <c r="CB58" s="248"/>
      <c r="CC58" s="248"/>
      <c r="CD58" s="248"/>
      <c r="CE58" s="248"/>
      <c r="CF58" s="248"/>
      <c r="CG58" s="248"/>
      <c r="CH58" s="248"/>
      <c r="CI58" s="248"/>
      <c r="CJ58" s="248"/>
      <c r="CK58" s="248"/>
      <c r="CL58" s="248"/>
      <c r="CM58" s="248"/>
      <c r="CN58" s="248"/>
      <c r="CO58" s="248"/>
      <c r="CP58" s="248"/>
      <c r="CQ58" s="248"/>
      <c r="CR58" s="248"/>
      <c r="CS58" s="248"/>
      <c r="CT58" s="248"/>
      <c r="CU58" s="248"/>
      <c r="CV58" s="248"/>
      <c r="CW58" s="248"/>
      <c r="CX58" s="248"/>
      <c r="CY58" s="248"/>
      <c r="CZ58" s="248"/>
      <c r="DA58" s="248"/>
      <c r="DB58" s="248"/>
      <c r="DC58" s="248"/>
      <c r="DD58" s="248"/>
      <c r="DE58" s="248"/>
      <c r="DF58" s="248"/>
      <c r="DG58" s="248"/>
      <c r="DH58" s="248"/>
      <c r="DI58" s="248"/>
      <c r="DJ58" s="248"/>
      <c r="DK58" s="248"/>
      <c r="DL58" s="248"/>
      <c r="DM58" s="248"/>
      <c r="DN58" s="248"/>
      <c r="DO58" s="248"/>
      <c r="DP58" s="248"/>
      <c r="DQ58" s="248"/>
    </row>
    <row r="59" spans="1:121" ht="15.75" customHeight="1">
      <c r="A59" s="243">
        <v>55</v>
      </c>
      <c r="B59" s="248"/>
      <c r="C59" s="248"/>
      <c r="D59" s="248"/>
      <c r="E59" s="248"/>
      <c r="F59" s="248"/>
      <c r="G59" s="248"/>
      <c r="H59" s="248"/>
      <c r="I59" s="248"/>
      <c r="J59" s="248"/>
      <c r="K59" s="248"/>
      <c r="L59" s="248"/>
      <c r="M59" s="248"/>
      <c r="N59" s="248"/>
      <c r="O59" s="248"/>
      <c r="P59" s="248"/>
      <c r="Q59" s="248"/>
      <c r="R59" s="248"/>
      <c r="S59" s="248"/>
      <c r="T59" s="248"/>
      <c r="U59" s="248"/>
      <c r="V59" s="248"/>
      <c r="W59" s="248"/>
      <c r="X59" s="248"/>
      <c r="Y59" s="248"/>
      <c r="Z59" s="248"/>
      <c r="AA59" s="248"/>
      <c r="AB59" s="248"/>
      <c r="AC59" s="248"/>
      <c r="AD59" s="248"/>
      <c r="AE59" s="248"/>
      <c r="AF59" s="248"/>
      <c r="AG59" s="248"/>
      <c r="AH59" s="248"/>
      <c r="AI59" s="248"/>
      <c r="AJ59" s="248"/>
      <c r="AK59" s="248"/>
      <c r="AL59" s="248"/>
      <c r="AM59" s="248"/>
      <c r="AN59" s="248"/>
      <c r="AO59" s="248"/>
      <c r="AP59" s="248"/>
      <c r="AQ59" s="248"/>
      <c r="AR59" s="248"/>
      <c r="AS59" s="248"/>
      <c r="AT59" s="248"/>
      <c r="AU59" s="248"/>
      <c r="AV59" s="248"/>
      <c r="AW59" s="248"/>
      <c r="AX59" s="248"/>
      <c r="AY59" s="248"/>
      <c r="AZ59" s="248"/>
      <c r="BA59" s="248"/>
      <c r="BB59" s="248"/>
      <c r="BC59" s="248"/>
      <c r="BD59" s="248"/>
      <c r="BE59" s="248"/>
      <c r="BF59" s="248"/>
      <c r="BG59" s="248"/>
      <c r="BH59" s="248"/>
      <c r="BI59" s="248"/>
      <c r="BJ59" s="248"/>
      <c r="BK59" s="248"/>
      <c r="BL59" s="248"/>
      <c r="BM59" s="248"/>
      <c r="BN59" s="248"/>
      <c r="BO59" s="248"/>
      <c r="BP59" s="248"/>
      <c r="BQ59" s="248"/>
      <c r="BR59" s="248"/>
      <c r="BS59" s="248"/>
      <c r="BT59" s="248"/>
      <c r="BU59" s="248"/>
      <c r="BV59" s="248"/>
      <c r="BW59" s="248"/>
      <c r="BX59" s="248"/>
      <c r="BY59" s="248"/>
      <c r="BZ59" s="248"/>
      <c r="CA59" s="248"/>
      <c r="CB59" s="248"/>
      <c r="CC59" s="248"/>
      <c r="CD59" s="248"/>
      <c r="CE59" s="248"/>
      <c r="CF59" s="248"/>
      <c r="CG59" s="248"/>
      <c r="CH59" s="248"/>
      <c r="CI59" s="248"/>
      <c r="CJ59" s="248"/>
      <c r="CK59" s="248"/>
      <c r="CL59" s="248"/>
      <c r="CM59" s="248"/>
      <c r="CN59" s="248"/>
      <c r="CO59" s="248"/>
      <c r="CP59" s="248"/>
      <c r="CQ59" s="248"/>
      <c r="CR59" s="248"/>
      <c r="CS59" s="248"/>
      <c r="CT59" s="248"/>
      <c r="CU59" s="248"/>
      <c r="CV59" s="248"/>
      <c r="CW59" s="248"/>
      <c r="CX59" s="248"/>
      <c r="CY59" s="248"/>
      <c r="CZ59" s="248"/>
      <c r="DA59" s="248"/>
      <c r="DB59" s="248"/>
      <c r="DC59" s="248"/>
      <c r="DD59" s="248"/>
      <c r="DE59" s="248"/>
      <c r="DF59" s="248"/>
      <c r="DG59" s="248"/>
      <c r="DH59" s="248"/>
      <c r="DI59" s="248"/>
      <c r="DJ59" s="248"/>
      <c r="DK59" s="248"/>
      <c r="DL59" s="248"/>
      <c r="DM59" s="248"/>
      <c r="DN59" s="248"/>
      <c r="DO59" s="248"/>
      <c r="DP59" s="248"/>
      <c r="DQ59" s="248"/>
    </row>
    <row r="60" spans="1:121" ht="15.75" customHeight="1">
      <c r="A60" s="243">
        <v>56</v>
      </c>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c r="AZ60" s="248"/>
      <c r="BA60" s="248"/>
      <c r="BB60" s="248"/>
      <c r="BC60" s="248"/>
      <c r="BD60" s="248"/>
      <c r="BE60" s="248"/>
      <c r="BF60" s="248"/>
      <c r="BG60" s="248"/>
      <c r="BH60" s="248"/>
      <c r="BI60" s="248"/>
      <c r="BJ60" s="248"/>
      <c r="BK60" s="248"/>
      <c r="BL60" s="248"/>
      <c r="BM60" s="248"/>
      <c r="BN60" s="248"/>
      <c r="BO60" s="248"/>
      <c r="BP60" s="248"/>
      <c r="BQ60" s="248"/>
      <c r="BR60" s="248"/>
      <c r="BS60" s="248"/>
      <c r="BT60" s="248"/>
      <c r="BU60" s="248"/>
      <c r="BV60" s="248"/>
      <c r="BW60" s="248"/>
      <c r="BX60" s="248"/>
      <c r="BY60" s="248"/>
      <c r="BZ60" s="248"/>
      <c r="CA60" s="248"/>
      <c r="CB60" s="248"/>
      <c r="CC60" s="248"/>
      <c r="CD60" s="248"/>
      <c r="CE60" s="248"/>
      <c r="CF60" s="248"/>
      <c r="CG60" s="248"/>
      <c r="CH60" s="248"/>
      <c r="CI60" s="248"/>
      <c r="CJ60" s="248"/>
      <c r="CK60" s="248"/>
      <c r="CL60" s="248"/>
      <c r="CM60" s="248"/>
      <c r="CN60" s="248"/>
      <c r="CO60" s="248"/>
      <c r="CP60" s="248"/>
      <c r="CQ60" s="248"/>
      <c r="CR60" s="248"/>
      <c r="CS60" s="248"/>
      <c r="CT60" s="248"/>
      <c r="CU60" s="248"/>
      <c r="CV60" s="248"/>
      <c r="CW60" s="248"/>
      <c r="CX60" s="248"/>
      <c r="CY60" s="248"/>
      <c r="CZ60" s="248"/>
      <c r="DA60" s="248"/>
      <c r="DB60" s="248"/>
      <c r="DC60" s="248"/>
      <c r="DD60" s="248"/>
      <c r="DE60" s="248"/>
      <c r="DF60" s="248"/>
      <c r="DG60" s="248"/>
      <c r="DH60" s="248"/>
      <c r="DI60" s="248"/>
      <c r="DJ60" s="248"/>
      <c r="DK60" s="248"/>
      <c r="DL60" s="248"/>
      <c r="DM60" s="248"/>
      <c r="DN60" s="248"/>
      <c r="DO60" s="248"/>
      <c r="DP60" s="248"/>
      <c r="DQ60" s="248"/>
    </row>
    <row r="61" spans="1:121" ht="15.75" customHeight="1">
      <c r="A61" s="243">
        <v>57</v>
      </c>
      <c r="B61" s="248"/>
      <c r="C61" s="248"/>
      <c r="D61" s="248"/>
      <c r="E61" s="248"/>
      <c r="F61" s="248"/>
      <c r="G61" s="248"/>
      <c r="H61" s="248"/>
      <c r="I61" s="248"/>
      <c r="J61" s="248"/>
      <c r="K61" s="248"/>
      <c r="L61" s="248"/>
      <c r="M61" s="248"/>
      <c r="N61" s="248"/>
      <c r="O61" s="248"/>
      <c r="P61" s="248"/>
      <c r="Q61" s="248"/>
      <c r="R61" s="248"/>
      <c r="S61" s="248"/>
      <c r="T61" s="248"/>
      <c r="U61" s="248"/>
      <c r="V61" s="248"/>
      <c r="W61" s="248"/>
      <c r="X61" s="248"/>
      <c r="Y61" s="248"/>
      <c r="Z61" s="248"/>
      <c r="AA61" s="248"/>
      <c r="AB61" s="248"/>
      <c r="AC61" s="248"/>
      <c r="AD61" s="248"/>
      <c r="AE61" s="248"/>
      <c r="AF61" s="248"/>
      <c r="AG61" s="248"/>
      <c r="AH61" s="248"/>
      <c r="AI61" s="248"/>
      <c r="AJ61" s="248"/>
      <c r="AK61" s="248"/>
      <c r="AL61" s="248"/>
      <c r="AM61" s="248"/>
      <c r="AN61" s="248"/>
      <c r="AO61" s="248"/>
      <c r="AP61" s="248"/>
      <c r="AQ61" s="248"/>
      <c r="AR61" s="248"/>
      <c r="AS61" s="248"/>
      <c r="AT61" s="248"/>
      <c r="AU61" s="248"/>
      <c r="AV61" s="248"/>
      <c r="AW61" s="248"/>
      <c r="AX61" s="248"/>
      <c r="AY61" s="248"/>
      <c r="AZ61" s="248"/>
      <c r="BA61" s="248"/>
      <c r="BB61" s="248"/>
      <c r="BC61" s="248"/>
      <c r="BD61" s="248"/>
      <c r="BE61" s="248"/>
      <c r="BF61" s="248"/>
      <c r="BG61" s="248"/>
      <c r="BH61" s="248"/>
      <c r="BI61" s="248"/>
      <c r="BJ61" s="248"/>
      <c r="BK61" s="248"/>
      <c r="BL61" s="248"/>
      <c r="BM61" s="248"/>
      <c r="BN61" s="248"/>
      <c r="BO61" s="248"/>
      <c r="BP61" s="248"/>
      <c r="BQ61" s="248"/>
      <c r="BR61" s="248"/>
      <c r="BS61" s="248"/>
      <c r="BT61" s="248"/>
      <c r="BU61" s="248"/>
      <c r="BV61" s="248"/>
      <c r="BW61" s="248"/>
      <c r="BX61" s="248"/>
      <c r="BY61" s="248"/>
      <c r="BZ61" s="248"/>
      <c r="CA61" s="248"/>
      <c r="CB61" s="248"/>
      <c r="CC61" s="248"/>
      <c r="CD61" s="248"/>
      <c r="CE61" s="248"/>
      <c r="CF61" s="248"/>
      <c r="CG61" s="248"/>
      <c r="CH61" s="248"/>
      <c r="CI61" s="248"/>
      <c r="CJ61" s="248"/>
      <c r="CK61" s="248"/>
      <c r="CL61" s="248"/>
      <c r="CM61" s="248"/>
      <c r="CN61" s="248"/>
      <c r="CO61" s="248"/>
      <c r="CP61" s="248"/>
      <c r="CQ61" s="248"/>
      <c r="CR61" s="248"/>
      <c r="CS61" s="248"/>
      <c r="CT61" s="248"/>
      <c r="CU61" s="248"/>
      <c r="CV61" s="248"/>
      <c r="CW61" s="248"/>
      <c r="CX61" s="248"/>
      <c r="CY61" s="248"/>
      <c r="CZ61" s="248"/>
      <c r="DA61" s="248"/>
      <c r="DB61" s="248"/>
      <c r="DC61" s="248"/>
      <c r="DD61" s="248"/>
      <c r="DE61" s="248"/>
      <c r="DF61" s="248"/>
      <c r="DG61" s="248"/>
      <c r="DH61" s="248"/>
      <c r="DI61" s="248"/>
      <c r="DJ61" s="248"/>
      <c r="DK61" s="248"/>
      <c r="DL61" s="248"/>
      <c r="DM61" s="248"/>
      <c r="DN61" s="248"/>
      <c r="DO61" s="248"/>
      <c r="DP61" s="248"/>
      <c r="DQ61" s="248"/>
    </row>
    <row r="62" spans="1:121" ht="15.75" customHeight="1">
      <c r="A62" s="243">
        <v>58</v>
      </c>
      <c r="B62" s="248"/>
      <c r="C62" s="248"/>
      <c r="D62" s="248"/>
      <c r="E62" s="248"/>
      <c r="F62" s="248"/>
      <c r="G62" s="248"/>
      <c r="H62" s="248"/>
      <c r="I62" s="248"/>
      <c r="J62" s="248"/>
      <c r="K62" s="248"/>
      <c r="L62" s="248"/>
      <c r="M62" s="248"/>
      <c r="N62" s="248"/>
      <c r="O62" s="248"/>
      <c r="P62" s="248"/>
      <c r="Q62" s="248"/>
      <c r="R62" s="248"/>
      <c r="S62" s="248"/>
      <c r="T62" s="248"/>
      <c r="U62" s="248"/>
      <c r="V62" s="248"/>
      <c r="W62" s="248"/>
      <c r="X62" s="248"/>
      <c r="Y62" s="248"/>
      <c r="Z62" s="248"/>
      <c r="AA62" s="248"/>
      <c r="AB62" s="248"/>
      <c r="AC62" s="248"/>
      <c r="AD62" s="248"/>
      <c r="AE62" s="248"/>
      <c r="AF62" s="248"/>
      <c r="AG62" s="248"/>
      <c r="AH62" s="248"/>
      <c r="AI62" s="248"/>
      <c r="AJ62" s="248"/>
      <c r="AK62" s="248"/>
      <c r="AL62" s="248"/>
      <c r="AM62" s="248"/>
      <c r="AN62" s="248"/>
      <c r="AO62" s="248"/>
      <c r="AP62" s="248"/>
      <c r="AQ62" s="248"/>
      <c r="AR62" s="248"/>
      <c r="AS62" s="248"/>
      <c r="AT62" s="248"/>
      <c r="AU62" s="248"/>
      <c r="AV62" s="248"/>
      <c r="AW62" s="248"/>
      <c r="AX62" s="248"/>
      <c r="AY62" s="248"/>
      <c r="AZ62" s="248"/>
      <c r="BA62" s="248"/>
      <c r="BB62" s="248"/>
      <c r="BC62" s="248"/>
      <c r="BD62" s="248"/>
      <c r="BE62" s="248"/>
      <c r="BF62" s="248"/>
      <c r="BG62" s="248"/>
      <c r="BH62" s="248"/>
      <c r="BI62" s="248"/>
      <c r="BJ62" s="248"/>
      <c r="BK62" s="248"/>
      <c r="BL62" s="248"/>
      <c r="BM62" s="248"/>
      <c r="BN62" s="248"/>
      <c r="BO62" s="248"/>
      <c r="BP62" s="248"/>
      <c r="BQ62" s="248"/>
      <c r="BR62" s="248"/>
      <c r="BS62" s="248"/>
      <c r="BT62" s="248"/>
      <c r="BU62" s="248"/>
      <c r="BV62" s="248"/>
      <c r="BW62" s="248"/>
      <c r="BX62" s="248"/>
      <c r="BY62" s="248"/>
      <c r="BZ62" s="248"/>
      <c r="CA62" s="248"/>
      <c r="CB62" s="248"/>
      <c r="CC62" s="248"/>
      <c r="CD62" s="248"/>
      <c r="CE62" s="248"/>
      <c r="CF62" s="248"/>
      <c r="CG62" s="248"/>
      <c r="CH62" s="248"/>
      <c r="CI62" s="248"/>
      <c r="CJ62" s="248"/>
      <c r="CK62" s="248"/>
      <c r="CL62" s="248"/>
      <c r="CM62" s="248"/>
      <c r="CN62" s="248"/>
      <c r="CO62" s="248"/>
      <c r="CP62" s="248"/>
      <c r="CQ62" s="248"/>
      <c r="CR62" s="248"/>
      <c r="CS62" s="248"/>
      <c r="CT62" s="248"/>
      <c r="CU62" s="248"/>
      <c r="CV62" s="248"/>
      <c r="CW62" s="248"/>
      <c r="CX62" s="248"/>
      <c r="CY62" s="248"/>
      <c r="CZ62" s="248"/>
      <c r="DA62" s="248"/>
      <c r="DB62" s="248"/>
      <c r="DC62" s="248"/>
      <c r="DD62" s="248"/>
      <c r="DE62" s="248"/>
      <c r="DF62" s="248"/>
      <c r="DG62" s="248"/>
      <c r="DH62" s="248"/>
      <c r="DI62" s="248"/>
      <c r="DJ62" s="248"/>
      <c r="DK62" s="248"/>
      <c r="DL62" s="248"/>
      <c r="DM62" s="248"/>
      <c r="DN62" s="248"/>
      <c r="DO62" s="248"/>
      <c r="DP62" s="248"/>
      <c r="DQ62" s="248"/>
    </row>
    <row r="63" spans="1:121" ht="15.75" customHeight="1">
      <c r="A63" s="243">
        <v>59</v>
      </c>
      <c r="B63" s="248"/>
      <c r="C63" s="248"/>
      <c r="D63" s="248"/>
      <c r="E63" s="248"/>
      <c r="F63" s="248"/>
      <c r="G63" s="248"/>
      <c r="H63" s="248"/>
      <c r="I63" s="248"/>
      <c r="J63" s="248"/>
      <c r="K63" s="248"/>
      <c r="L63" s="248"/>
      <c r="M63" s="248"/>
      <c r="N63" s="248"/>
      <c r="O63" s="248"/>
      <c r="P63" s="248"/>
      <c r="Q63" s="248"/>
      <c r="R63" s="248"/>
      <c r="S63" s="248"/>
      <c r="T63" s="248"/>
      <c r="U63" s="248"/>
      <c r="V63" s="248"/>
      <c r="W63" s="248"/>
      <c r="X63" s="248"/>
      <c r="Y63" s="248"/>
      <c r="Z63" s="248"/>
      <c r="AA63" s="248"/>
      <c r="AB63" s="248"/>
      <c r="AC63" s="248"/>
      <c r="AD63" s="248"/>
      <c r="AE63" s="248"/>
      <c r="AF63" s="248"/>
      <c r="AG63" s="248"/>
      <c r="AH63" s="248"/>
      <c r="AI63" s="248"/>
      <c r="AJ63" s="248"/>
      <c r="AK63" s="248"/>
      <c r="AL63" s="248"/>
      <c r="AM63" s="248"/>
      <c r="AN63" s="248"/>
      <c r="AO63" s="248"/>
      <c r="AP63" s="248"/>
      <c r="AQ63" s="248"/>
      <c r="AR63" s="248"/>
      <c r="AS63" s="248"/>
      <c r="AT63" s="248"/>
      <c r="AU63" s="248"/>
      <c r="AV63" s="248"/>
      <c r="AW63" s="248"/>
      <c r="AX63" s="248"/>
      <c r="AY63" s="248"/>
      <c r="AZ63" s="248"/>
      <c r="BA63" s="248"/>
      <c r="BB63" s="248"/>
      <c r="BC63" s="248"/>
      <c r="BD63" s="248"/>
      <c r="BE63" s="248"/>
      <c r="BF63" s="248"/>
      <c r="BG63" s="248"/>
      <c r="BH63" s="248"/>
      <c r="BI63" s="248"/>
      <c r="BJ63" s="248"/>
      <c r="BK63" s="248"/>
      <c r="BL63" s="248"/>
      <c r="BM63" s="248"/>
      <c r="BN63" s="248"/>
      <c r="BO63" s="248"/>
      <c r="BP63" s="248"/>
      <c r="BQ63" s="248"/>
      <c r="BR63" s="248"/>
      <c r="BS63" s="248"/>
      <c r="BT63" s="248"/>
      <c r="BU63" s="248"/>
      <c r="BV63" s="248"/>
      <c r="BW63" s="248"/>
      <c r="BX63" s="248"/>
      <c r="BY63" s="248"/>
      <c r="BZ63" s="248"/>
      <c r="CA63" s="248"/>
      <c r="CB63" s="248"/>
      <c r="CC63" s="248"/>
      <c r="CD63" s="248"/>
      <c r="CE63" s="248"/>
      <c r="CF63" s="248"/>
      <c r="CG63" s="248"/>
      <c r="CH63" s="248"/>
      <c r="CI63" s="248"/>
      <c r="CJ63" s="248"/>
      <c r="CK63" s="248"/>
      <c r="CL63" s="248"/>
      <c r="CM63" s="248"/>
      <c r="CN63" s="248"/>
      <c r="CO63" s="248"/>
      <c r="CP63" s="248"/>
      <c r="CQ63" s="248"/>
      <c r="CR63" s="248"/>
      <c r="CS63" s="248"/>
      <c r="CT63" s="248"/>
      <c r="CU63" s="248"/>
      <c r="CV63" s="248"/>
      <c r="CW63" s="248"/>
      <c r="CX63" s="248"/>
      <c r="CY63" s="248"/>
      <c r="CZ63" s="248"/>
      <c r="DA63" s="248"/>
      <c r="DB63" s="248"/>
      <c r="DC63" s="248"/>
      <c r="DD63" s="248"/>
      <c r="DE63" s="248"/>
      <c r="DF63" s="248"/>
      <c r="DG63" s="248"/>
      <c r="DH63" s="248"/>
      <c r="DI63" s="248"/>
      <c r="DJ63" s="248"/>
      <c r="DK63" s="248"/>
      <c r="DL63" s="248"/>
      <c r="DM63" s="248"/>
      <c r="DN63" s="248"/>
      <c r="DO63" s="248"/>
      <c r="DP63" s="248"/>
      <c r="DQ63" s="248"/>
    </row>
    <row r="64" spans="1:121" ht="15.75" customHeight="1">
      <c r="A64" s="233">
        <v>60</v>
      </c>
      <c r="B64" s="254"/>
      <c r="C64" s="254"/>
      <c r="D64" s="254"/>
      <c r="E64" s="254"/>
      <c r="F64" s="254"/>
      <c r="G64" s="254"/>
      <c r="H64" s="254"/>
      <c r="I64" s="248"/>
      <c r="J64" s="254"/>
      <c r="K64" s="254"/>
      <c r="L64" s="254"/>
      <c r="M64" s="248"/>
      <c r="N64" s="254"/>
      <c r="O64" s="254"/>
      <c r="P64" s="254"/>
      <c r="Q64" s="254"/>
      <c r="R64" s="254"/>
      <c r="S64" s="254"/>
      <c r="T64" s="254"/>
      <c r="U64" s="254"/>
      <c r="V64" s="254"/>
      <c r="W64" s="254"/>
      <c r="X64" s="254"/>
      <c r="Y64" s="254"/>
      <c r="Z64" s="254"/>
      <c r="AA64" s="254"/>
      <c r="AB64" s="254"/>
      <c r="AC64" s="254"/>
      <c r="AD64" s="254"/>
      <c r="AE64" s="254"/>
      <c r="AF64" s="254"/>
      <c r="AG64" s="254"/>
      <c r="AH64" s="254"/>
      <c r="AI64" s="254"/>
      <c r="AJ64" s="254"/>
      <c r="AK64" s="254"/>
      <c r="AL64" s="254"/>
      <c r="AM64" s="254"/>
      <c r="AN64" s="254"/>
      <c r="AO64" s="254"/>
      <c r="AP64" s="254"/>
      <c r="AQ64" s="254"/>
      <c r="AR64" s="254"/>
      <c r="AS64" s="254"/>
      <c r="AT64" s="254"/>
      <c r="AU64" s="254"/>
      <c r="AV64" s="254"/>
      <c r="AW64" s="254"/>
      <c r="AX64" s="254"/>
      <c r="AY64" s="254"/>
      <c r="AZ64" s="254"/>
      <c r="BA64" s="254"/>
      <c r="BB64" s="254"/>
      <c r="BC64" s="254"/>
      <c r="BD64" s="254"/>
      <c r="BE64" s="254"/>
      <c r="BF64" s="254"/>
      <c r="BG64" s="254"/>
      <c r="BH64" s="254"/>
      <c r="BI64" s="254"/>
      <c r="BJ64" s="254"/>
      <c r="BK64" s="254"/>
      <c r="BL64" s="254"/>
      <c r="BM64" s="254"/>
      <c r="BN64" s="254"/>
      <c r="BO64" s="254"/>
      <c r="BP64" s="254"/>
      <c r="BQ64" s="254"/>
      <c r="BR64" s="254"/>
      <c r="BS64" s="254"/>
      <c r="BT64" s="254"/>
      <c r="BU64" s="254"/>
      <c r="BV64" s="254"/>
      <c r="BW64" s="254"/>
      <c r="BX64" s="254"/>
      <c r="BY64" s="254"/>
      <c r="BZ64" s="254"/>
      <c r="CA64" s="254"/>
      <c r="CB64" s="254"/>
      <c r="CC64" s="254"/>
      <c r="CD64" s="254"/>
      <c r="CE64" s="254"/>
      <c r="CF64" s="254"/>
      <c r="CG64" s="254"/>
      <c r="CH64" s="254"/>
      <c r="CI64" s="254"/>
      <c r="CJ64" s="254"/>
      <c r="CK64" s="254"/>
      <c r="CL64" s="254"/>
      <c r="CM64" s="254"/>
      <c r="CN64" s="254"/>
      <c r="CO64" s="254"/>
      <c r="CP64" s="254"/>
      <c r="CQ64" s="254"/>
      <c r="CR64" s="254"/>
      <c r="CS64" s="254"/>
      <c r="CT64" s="254"/>
      <c r="CU64" s="254"/>
      <c r="CV64" s="254"/>
      <c r="CW64" s="254"/>
      <c r="CX64" s="254"/>
      <c r="CY64" s="254"/>
      <c r="CZ64" s="254"/>
      <c r="DA64" s="254"/>
      <c r="DB64" s="254"/>
      <c r="DC64" s="254"/>
      <c r="DD64" s="254"/>
      <c r="DE64" s="254"/>
      <c r="DF64" s="254"/>
      <c r="DG64" s="254"/>
      <c r="DH64" s="254"/>
      <c r="DI64" s="254"/>
      <c r="DJ64" s="254"/>
      <c r="DK64" s="254"/>
      <c r="DL64" s="254"/>
      <c r="DM64" s="254"/>
      <c r="DN64" s="254"/>
      <c r="DO64" s="254"/>
      <c r="DP64" s="254"/>
      <c r="DQ64" s="254"/>
    </row>
    <row r="66" spans="1:123" ht="63" customHeight="1">
      <c r="A66" s="259" t="s">
        <v>140</v>
      </c>
      <c r="B66" s="248"/>
      <c r="C66" s="248"/>
      <c r="D66" s="248"/>
      <c r="E66" s="248"/>
      <c r="F66" s="260" t="s">
        <v>141</v>
      </c>
      <c r="G66" s="248"/>
      <c r="H66" s="248"/>
      <c r="I66" s="248"/>
      <c r="J66" s="248"/>
      <c r="K66" s="248"/>
      <c r="L66" s="248"/>
      <c r="M66" s="248"/>
      <c r="N66" s="248"/>
      <c r="O66" s="248"/>
      <c r="P66" s="248"/>
      <c r="Q66" s="248"/>
      <c r="R66" s="248"/>
      <c r="S66" s="248"/>
      <c r="T66" s="248"/>
      <c r="U66" s="248"/>
      <c r="V66" s="248"/>
      <c r="W66" s="248"/>
      <c r="X66" s="248"/>
      <c r="Y66" s="248"/>
      <c r="Z66" s="260" t="s">
        <v>142</v>
      </c>
      <c r="AA66" s="260" t="s">
        <v>143</v>
      </c>
      <c r="AB66" s="248"/>
      <c r="AC66" s="248"/>
      <c r="AD66" s="248"/>
      <c r="AE66" s="248"/>
      <c r="AF66" s="248"/>
      <c r="AG66" s="248"/>
      <c r="AH66" s="248"/>
      <c r="AI66" s="248"/>
      <c r="AJ66" s="248"/>
      <c r="AK66" s="248"/>
      <c r="AL66" s="248"/>
      <c r="AM66" s="248"/>
      <c r="AN66" s="248"/>
      <c r="AO66" s="248"/>
      <c r="AP66" s="248"/>
      <c r="AQ66" s="248"/>
      <c r="AR66" s="248"/>
      <c r="AS66" s="248"/>
      <c r="AT66" s="248"/>
      <c r="AU66" s="248"/>
      <c r="AV66" s="248"/>
      <c r="AW66" s="248"/>
      <c r="AX66" s="248"/>
      <c r="AY66" s="248"/>
      <c r="AZ66" s="248"/>
      <c r="BA66" s="248"/>
      <c r="BB66" s="248"/>
      <c r="BC66" s="248"/>
      <c r="BD66" s="248"/>
      <c r="BE66" s="248"/>
      <c r="BF66" s="248"/>
      <c r="BG66" s="248"/>
      <c r="BH66" s="248"/>
      <c r="BI66" s="248"/>
      <c r="BJ66" s="248"/>
      <c r="BK66" s="248"/>
      <c r="BL66" s="248"/>
      <c r="BM66" s="248"/>
      <c r="BN66" s="248"/>
      <c r="BO66" s="248"/>
      <c r="BP66" s="248"/>
      <c r="BQ66" s="248"/>
      <c r="BR66" s="248"/>
      <c r="BS66" s="248"/>
      <c r="BT66" s="248"/>
      <c r="BU66" s="248"/>
      <c r="BV66" s="248"/>
      <c r="BW66" s="248"/>
      <c r="BX66" s="248"/>
      <c r="BY66" s="248"/>
      <c r="BZ66" s="248"/>
      <c r="CA66" s="248"/>
      <c r="CB66" s="248"/>
      <c r="CC66" s="248"/>
      <c r="CD66" s="248"/>
      <c r="CE66" s="248"/>
      <c r="CF66" s="248"/>
      <c r="CG66" s="248"/>
      <c r="CH66" s="248"/>
      <c r="CI66" s="248"/>
      <c r="CJ66" s="248"/>
      <c r="CK66" s="248"/>
      <c r="CL66" s="248"/>
      <c r="CM66" s="248"/>
      <c r="CN66" s="248"/>
      <c r="CO66" s="248"/>
      <c r="CP66" s="248"/>
      <c r="CQ66" s="248"/>
      <c r="CR66" s="248"/>
      <c r="CS66" s="248"/>
      <c r="CT66" s="248"/>
      <c r="CU66" s="248"/>
      <c r="CV66" s="248"/>
      <c r="CW66" s="248"/>
      <c r="CX66" s="248"/>
      <c r="CY66" s="248"/>
      <c r="CZ66" s="248"/>
      <c r="DA66" s="248"/>
      <c r="DB66" s="248"/>
      <c r="DC66" s="248"/>
      <c r="DD66" s="248"/>
      <c r="DE66" s="248"/>
      <c r="DF66" s="248"/>
      <c r="DG66" s="248"/>
      <c r="DH66" s="248"/>
      <c r="DI66" s="248"/>
      <c r="DJ66" s="248"/>
      <c r="DK66" s="248"/>
      <c r="DL66" s="248"/>
      <c r="DM66" s="248"/>
      <c r="DN66" s="248"/>
      <c r="DO66" s="248"/>
      <c r="DP66" s="248"/>
      <c r="DQ66" s="248"/>
      <c r="DR66" s="248"/>
      <c r="DS66" s="248"/>
    </row>
    <row r="67" spans="1:123" ht="15.75" customHeight="1">
      <c r="A67" s="243">
        <f ca="1">A68-1</f>
        <v>33</v>
      </c>
      <c r="B67" s="248"/>
      <c r="C67" s="248"/>
      <c r="D67" s="248"/>
      <c r="E67" s="248"/>
      <c r="F67" s="138">
        <f t="shared" ref="F67:I67" ca="1" si="187">MAX(VLOOKUP($A$67,1:1005,F1))</f>
        <v>17569.579383236472</v>
      </c>
      <c r="G67" s="138">
        <f t="shared" ca="1" si="187"/>
        <v>836.28750676917844</v>
      </c>
      <c r="H67" s="138">
        <f t="shared" ca="1" si="187"/>
        <v>11613.712493230822</v>
      </c>
      <c r="I67" s="138">
        <f t="shared" ca="1" si="187"/>
        <v>12450</v>
      </c>
      <c r="J67" s="248"/>
      <c r="K67" s="248"/>
      <c r="L67" s="248"/>
      <c r="M67" s="248"/>
      <c r="N67" s="248"/>
      <c r="O67" s="248"/>
      <c r="P67" s="248"/>
      <c r="Q67" s="248"/>
      <c r="R67" s="248"/>
      <c r="S67" s="248"/>
      <c r="T67" s="248"/>
      <c r="U67" s="248"/>
      <c r="V67" s="248"/>
      <c r="W67" s="248"/>
      <c r="X67" s="248"/>
      <c r="Y67" s="248"/>
      <c r="Z67" s="248"/>
      <c r="AA67" s="248"/>
      <c r="AB67" s="248"/>
      <c r="AC67" s="248"/>
      <c r="AD67" s="248"/>
      <c r="AE67" s="248"/>
      <c r="AF67" s="248"/>
      <c r="AG67" s="248"/>
      <c r="AH67" s="248"/>
      <c r="AI67" s="248"/>
      <c r="AJ67" s="248"/>
      <c r="AK67" s="248"/>
      <c r="AL67" s="248"/>
      <c r="AM67" s="248"/>
      <c r="AN67" s="248"/>
      <c r="AO67" s="248"/>
      <c r="AP67" s="248"/>
      <c r="AQ67" s="248"/>
      <c r="AR67" s="248"/>
      <c r="AS67" s="248"/>
      <c r="AT67" s="248"/>
      <c r="AU67" s="248"/>
      <c r="AV67" s="248"/>
      <c r="AW67" s="248"/>
      <c r="AX67" s="248"/>
      <c r="AY67" s="248"/>
      <c r="AZ67" s="248"/>
      <c r="BA67" s="248"/>
      <c r="BB67" s="248"/>
      <c r="BC67" s="248"/>
      <c r="BD67" s="248"/>
      <c r="BE67" s="248"/>
      <c r="BF67" s="248"/>
      <c r="BG67" s="248"/>
      <c r="BH67" s="248"/>
      <c r="BI67" s="248"/>
      <c r="BJ67" s="248"/>
      <c r="BK67" s="248"/>
      <c r="BL67" s="248"/>
      <c r="BM67" s="248"/>
      <c r="BN67" s="248"/>
      <c r="BO67" s="241">
        <f ca="1">VLOOKUP($A$67,1:1005,BO1)</f>
        <v>-100624.60041287224</v>
      </c>
      <c r="BP67" s="248"/>
      <c r="BQ67" s="241">
        <f ca="1">VLOOKUP($A$67,1:1005,BQ1)</f>
        <v>-101916.60041287224</v>
      </c>
      <c r="BR67" s="248"/>
      <c r="BS67" s="248"/>
      <c r="BT67" s="248"/>
      <c r="BU67" s="248"/>
      <c r="BV67" s="248"/>
      <c r="BW67" s="248"/>
      <c r="BX67" s="248"/>
      <c r="BY67" s="248"/>
      <c r="BZ67" s="248"/>
      <c r="CA67" s="241">
        <f ca="1">VLOOKUP($A$67,1:1005,CA1)</f>
        <v>-62436.278171331287</v>
      </c>
      <c r="CB67" s="248"/>
      <c r="CC67" s="241">
        <f ca="1">VLOOKUP($A$67,1:1005,CC1)</f>
        <v>-61967.278171331287</v>
      </c>
      <c r="CD67" s="248"/>
      <c r="CE67" s="248"/>
      <c r="CF67" s="248"/>
      <c r="CG67" s="248"/>
      <c r="CH67" s="248"/>
      <c r="CI67" s="248"/>
      <c r="CJ67" s="248"/>
      <c r="CK67" s="248"/>
      <c r="CL67" s="248"/>
      <c r="CM67" s="248"/>
      <c r="CN67" s="248"/>
      <c r="CO67" s="248"/>
      <c r="CP67" s="248"/>
      <c r="CQ67" s="248"/>
      <c r="CR67" s="248"/>
      <c r="CS67" s="248"/>
      <c r="CT67" s="248"/>
      <c r="CU67" s="248"/>
      <c r="CV67" s="248"/>
      <c r="CW67" s="248"/>
      <c r="CX67" s="248"/>
      <c r="CY67" s="248"/>
      <c r="CZ67" s="248"/>
      <c r="DA67" s="248"/>
      <c r="DB67" s="248"/>
      <c r="DC67" s="248"/>
      <c r="DD67" s="248"/>
      <c r="DE67" s="248"/>
      <c r="DF67" s="248"/>
      <c r="DG67" s="248"/>
      <c r="DH67" s="248"/>
      <c r="DI67" s="248"/>
      <c r="DJ67" s="248"/>
      <c r="DK67" s="248"/>
      <c r="DL67" s="248"/>
      <c r="DM67" s="248"/>
      <c r="DN67" s="248"/>
      <c r="DO67" s="248"/>
      <c r="DP67" s="248"/>
      <c r="DQ67" s="248"/>
      <c r="DR67" s="248"/>
      <c r="DS67" s="248"/>
    </row>
    <row r="68" spans="1:123" ht="15.75" customHeight="1">
      <c r="A68" s="261">
        <f ca="1">'Immobilie als Kapitalanlage'!D82</f>
        <v>34</v>
      </c>
      <c r="B68" s="244">
        <f t="shared" ref="B68:E68" ca="1" si="188">VLOOKUP($A$68,1:1005,B1)</f>
        <v>349241.6695562235</v>
      </c>
      <c r="C68" s="241">
        <f t="shared" ca="1" si="188"/>
        <v>0</v>
      </c>
      <c r="D68" s="244">
        <f t="shared" ca="1" si="188"/>
        <v>349241.6695562235</v>
      </c>
      <c r="E68" s="241">
        <f t="shared" ca="1" si="188"/>
        <v>0</v>
      </c>
      <c r="F68" s="241">
        <f ca="1">MAX(VLOOKUP($A$68,1:1005,F1)-VLOOKUP($A$68,1:1005,AA1),0)</f>
        <v>5542.8025242312578</v>
      </c>
      <c r="G68" s="245">
        <f ca="1">F68*'Immobilie als Kapitalanlage'!$D$26</f>
        <v>193.99808834809403</v>
      </c>
      <c r="H68" s="241">
        <f ca="1">F67-F68</f>
        <v>12026.776859005215</v>
      </c>
      <c r="I68" s="235">
        <f ca="1">F68*('Immobilie als Kapitalanlage'!$D$26+'Immobilie als Kapitalanlage'!$D$36)</f>
        <v>277.14012621156292</v>
      </c>
      <c r="J68" s="248"/>
      <c r="K68" s="248"/>
      <c r="L68" s="248"/>
      <c r="M68" s="248"/>
      <c r="N68" s="248"/>
      <c r="O68" s="248">
        <v>0</v>
      </c>
      <c r="P68" s="248">
        <v>0</v>
      </c>
      <c r="Q68" s="248">
        <v>0</v>
      </c>
      <c r="R68" s="250">
        <f ca="1">VLOOKUP($A$68,1:1005,R1)</f>
        <v>-2800.3067092643832</v>
      </c>
      <c r="S68" s="248">
        <v>0</v>
      </c>
      <c r="T68" s="248">
        <v>0</v>
      </c>
      <c r="U68" s="248">
        <v>0</v>
      </c>
      <c r="V68" s="250">
        <f t="shared" ref="V68:X68" ca="1" si="189">VLOOKUP($A$68,1:1005,V1)</f>
        <v>-1176.4056192132089</v>
      </c>
      <c r="W68" s="241">
        <f t="shared" ca="1" si="189"/>
        <v>19606.760320220146</v>
      </c>
      <c r="X68" s="241">
        <f t="shared" ca="1" si="189"/>
        <v>22351.706765050963</v>
      </c>
      <c r="Y68" s="248">
        <v>0</v>
      </c>
      <c r="Z68" s="241">
        <f ca="1">VLOOKUP($A$68,1:1005,Z1)</f>
        <v>0</v>
      </c>
      <c r="AA68" s="241">
        <f ca="1">MAX(VLOOKUP($A$68,1:1005,AA1)-VLOOKUP($A$68,1:1005,F1),0)</f>
        <v>0</v>
      </c>
      <c r="AB68" s="241">
        <f>'Immobilie als Kapitalanlage'!C3*'Immobilie als Kapitalanlage'!D81</f>
        <v>64000</v>
      </c>
      <c r="AC68" s="235">
        <f>IF(AND(AB68&gt;Steuern!$D$6,AB68&lt;Steuern!$D$10),INT((Steuern!$H$5*(AB68-Steuern!$D$6)/10000+Steuern!$I$8)*(AB68-Steuern!$D$6)/10000),IF(AND(AB68&gt;Steuern!$F$8,AB68&lt;Steuern!$D$12),INT((Steuern!$H$10*(AB68-Steuern!$F$8)/10000+Steuern!$I$10)*(AB68-Steuern!$F$8)/10000+Steuern!$J$10),IF(AND(AB68&gt;Steuern!$F$10,AB68&lt;Steuern!$D$14),INT(AB68*Steuern!$H$12-Steuern!$I$12),IF(AB68&gt;Steuern!$F$12,INT(AB68*Steuern!$H$14-Steuern!$I$14),0))))</f>
        <v>16907</v>
      </c>
      <c r="AD68" s="235">
        <f>IF(AND(AB68/2&gt;Steuern!$D$6,AB68/2&lt;Steuern!$D$10),INT((Steuern!$H$8*(AB68/2-Steuern!$D$8)/10000+Steuern!$I$8)*(AB68/2-Steuern!$D$6)/10000),IF(AND(AB68/2&gt;Steuern!$F$8,AB68/2&lt;Steuern!$D$12),INT((Steuern!$H$10*(AB68/2-Steuern!$F$8)/10000+Steuern!$I$10)*(AB68/2-Steuern!$F$8)/10000+Steuern!$J$10),IF(AND(AB68/2&gt;Steuern!$F$10,AB68/2&lt;Steuern!$D$14),INT(AB68/2*Steuern!$H$12-Steuern!$I$12),IF(AB68/2&gt;Steuern!$F$12,INT(AB68/2*Steuern!$H$14-Steuern!$I$14),0))))*2</f>
        <v>10590</v>
      </c>
      <c r="AE68" s="235">
        <f ca="1">R68-G68+W68</f>
        <v>16612.45552260767</v>
      </c>
      <c r="AF68" s="235"/>
      <c r="AG68" s="235"/>
      <c r="AH68" s="235">
        <f ca="1">R68-G68+X68</f>
        <v>19357.401967438487</v>
      </c>
      <c r="AI68" s="235"/>
      <c r="AJ68" s="235"/>
      <c r="AK68" s="248">
        <f t="shared" ref="AK68:AM68" ca="1" si="190">VLOOKUP($A$68,1:1005,AK1)</f>
        <v>0</v>
      </c>
      <c r="AL68" s="241">
        <f t="shared" ca="1" si="190"/>
        <v>190858.5</v>
      </c>
      <c r="AM68" s="241">
        <f t="shared" ca="1" si="190"/>
        <v>3817.17</v>
      </c>
      <c r="AN68" s="235">
        <f ca="1">AB68+AE68-AM68</f>
        <v>76795.285522607664</v>
      </c>
      <c r="AO68" s="235">
        <f ca="1">IF(AND(AN68&gt;Steuern!$D$6,AN68&lt;Steuern!$D$10),INT((Steuern!H63*(AN68-Steuern!$D$8)/10000+Steuern!$I$8)*(AN68-Steuern!$D$6)/10000),IF(AND(AN68&gt;Steuern!$F$8,AN68&lt;Steuern!$D$12),INT((Steuern!$H$10*(AN68-Steuern!$F$8)/10000+Steuern!$I$10)*(AN68-Steuern!$F$8)/10000+Steuern!$J$10),IF(AND(AN68&gt;Steuern!$F$10,AN68&lt;Steuern!$D$14),INT(AN68*Steuern!$H$12-Steuern!$I$12),IF(AN68&gt;Steuern!$F$12,INT(AN68*Steuern!$H$14-Steuern!$I$14),0))))</f>
        <v>22281</v>
      </c>
      <c r="AP68" s="235">
        <f ca="1">IF(AND(AN68/2&gt;Steuern!$D$6,AN68/2&lt;Steuern!$D$10),INT((Steuern!$H$8*(AN68/2-Steuern!$D$8)/10000+Steuern!$I$8)*(AN68/2-Steuern!$D$6)/10000),IF(AND(AN68/2&gt;Steuern!$F$8,AN68/2&lt;Steuern!$D$12),INT((Steuern!$H$10*(AN68/2-Steuern!$F$8)/10000+Steuern!$I$10)*(AN68/2-Steuern!$F$8)/10000+Steuern!$J$10),IF(AND(AN68/2&gt;Steuern!$F$10,AN68/2&lt;Steuern!$D$14),INT(AN68/2*Steuern!$H$12-Steuern!$I$12),IF(AN68/2&gt;Steuern!$F$12,INT(AN68/2*Steuern!$H$14-Steuern!$I$14),0))))*2</f>
        <v>14602</v>
      </c>
      <c r="AQ68" s="254"/>
      <c r="AR68" s="235"/>
      <c r="AS68" s="235"/>
      <c r="AT68" s="235">
        <f>IF(AND(AS68&gt;Steuern!$D$6,AS68&lt;Steuern!$D$10),INT((Steuern!H63*(AS68-Steuern!$D$8)/10000+Steuern!$I$8)*(AS68-Steuern!$D$6)/10000),IF(AND(AS68&gt;Steuern!$F$8,AS68&lt;Steuern!$D$12),INT((Steuern!$H$10*(AS68-Steuern!$F$8)/10000+Steuern!$I$10)*(AS68-Steuern!$F$8)/10000+Steuern!$J$10),IF(AND(AS68&gt;Steuern!$F$10,AS68&lt;Steuern!$D$14),INT(AS68*Steuern!$H$12-Steuern!$I$12),IF(AS68&gt;Steuern!$F$12,INT(AS68*Steuern!$H$14-Steuern!$I$14),0))))</f>
        <v>0</v>
      </c>
      <c r="AU68" s="235">
        <f ca="1">AB68+AH68-AM68</f>
        <v>79540.231967438493</v>
      </c>
      <c r="AV68" s="235">
        <f ca="1">IF(AND(AU68&gt;Steuern!$D$6,AU68&lt;Steuern!$D$10),INT((Steuern!$H$8*(AU68-Steuern!$D$6)/10000+Steuern!$I$8)*(AU68-Steuern!$D$6)/10000),IF(AND(AU68&gt;Steuern!$F$8,AU68&lt;Steuern!$D$12),INT((Steuern!$H$10*(AU68-Steuern!$F$8)/10000+Steuern!$I$10)*(AU68-Steuern!$F$8)/10000+Steuern!$J$10),IF(AND(AU68&gt;Steuern!$F$10,AU68&lt;Steuern!$D$14),INT(AU68*Steuern!$H$12-Steuern!$I$12),IF(AU68&gt;Steuern!$F$12,INT(AU68*Steuern!$H$14-Steuern!$I$14),0))))</f>
        <v>23433</v>
      </c>
      <c r="AW68" s="235">
        <f ca="1">IF(AND(AU68/2&gt;Steuern!$D$6,AU68/2&lt;Steuern!$D$10),INT((Steuern!$H$8*(AU68/2-Steuern!$D$8)/10000+Steuern!$I$8)*(AU68/2-Steuern!$D$6)/10000),IF(AND(AU68/2&gt;Steuern!$F$8,AU68/2&lt;Steuern!$D$12),INT((Steuern!$H$10*(AU68/2-Steuern!$F$8)/10000+Steuern!$I$10)*(AU68/2-Steuern!$F$8)/10000+Steuern!$J$10),IF(AND(AU68/2&gt;Steuern!$F$10,AU68/2&lt;Steuern!$D$14),INT(AU68/2*Steuern!$H$12-Steuern!$I$12),IF(AU68/2&gt;Steuern!$F$12,INT(AU68/2*Steuern!$H$14-Steuern!$I$14),0))))*2</f>
        <v>15504</v>
      </c>
      <c r="AX68" s="235"/>
      <c r="AY68" s="235"/>
      <c r="AZ68" s="235"/>
      <c r="BA68" s="248"/>
      <c r="BB68" s="235">
        <f t="shared" ref="BB68:BC68" ca="1" si="191">AC68-AO68</f>
        <v>-5374</v>
      </c>
      <c r="BC68" s="235">
        <f t="shared" ca="1" si="191"/>
        <v>-4012</v>
      </c>
      <c r="BD68" s="235">
        <f>AC68-AR68</f>
        <v>16907</v>
      </c>
      <c r="BE68" s="235">
        <f>AC68-AT68</f>
        <v>16907</v>
      </c>
      <c r="BF68" s="235">
        <f t="shared" ref="BF68:BG68" ca="1" si="192">AC68-AV68</f>
        <v>-6526</v>
      </c>
      <c r="BG68" s="235">
        <f t="shared" ca="1" si="192"/>
        <v>-4914</v>
      </c>
      <c r="BH68" s="235"/>
      <c r="BI68" s="235"/>
      <c r="BJ68" s="241">
        <f ca="1">-G68+R68+V68+W68+BB68</f>
        <v>10062.04990339446</v>
      </c>
      <c r="BK68" s="241">
        <f ca="1">-G68+R68+V68+W68+BC68</f>
        <v>11424.04990339446</v>
      </c>
      <c r="BL68" s="241"/>
      <c r="BM68" s="241"/>
      <c r="BN68" s="241">
        <f ca="1">Y68+BJ68</f>
        <v>10062.04990339446</v>
      </c>
      <c r="BO68" s="241">
        <f ca="1">BO67+BN68</f>
        <v>-90562.550509477776</v>
      </c>
      <c r="BP68" s="241">
        <f ca="1">Y68+BK68</f>
        <v>11424.04990339446</v>
      </c>
      <c r="BQ68" s="241">
        <f ca="1">BQ67+BP68</f>
        <v>-90492.550509477776</v>
      </c>
      <c r="BR68" s="241"/>
      <c r="BS68" s="241"/>
      <c r="BT68" s="241"/>
      <c r="BU68" s="241"/>
      <c r="BV68" s="241">
        <f ca="1">-G68+R68+V68+X68+BF68</f>
        <v>11654.996348225279</v>
      </c>
      <c r="BW68" s="241">
        <f ca="1">-G68+R68+V68+X68+BG68</f>
        <v>13266.996348225279</v>
      </c>
      <c r="BX68" s="241">
        <f ca="1">-K68-L68+R68+V68+X68+BH68</f>
        <v>18374.994436573372</v>
      </c>
      <c r="BY68" s="241">
        <f ca="1">-O68-P68+R68+V68+X68+BI68</f>
        <v>18374.994436573372</v>
      </c>
      <c r="BZ68" s="241">
        <f ca="1">Y68+BV68</f>
        <v>11654.996348225279</v>
      </c>
      <c r="CA68" s="241">
        <f ca="1">CA67+BZ68</f>
        <v>-50781.281823106008</v>
      </c>
      <c r="CB68" s="241">
        <f ca="1">Y68+BW68</f>
        <v>13266.996348225279</v>
      </c>
      <c r="CC68" s="241">
        <f ca="1">CC67+CB68</f>
        <v>-48700.281823106008</v>
      </c>
      <c r="CD68" s="241"/>
      <c r="CE68" s="241"/>
      <c r="CF68" s="241"/>
      <c r="CG68" s="241"/>
      <c r="CH68" s="248"/>
      <c r="CI68" s="248"/>
      <c r="CJ68" s="248"/>
      <c r="CK68" s="248"/>
      <c r="CL68" s="248"/>
      <c r="CM68" s="248"/>
      <c r="CN68" s="248"/>
      <c r="CO68" s="248"/>
      <c r="CP68" s="248"/>
      <c r="CQ68" s="248"/>
      <c r="CR68" s="248"/>
      <c r="CS68" s="248"/>
      <c r="CT68" s="248"/>
      <c r="CU68" s="248"/>
      <c r="CV68" s="248"/>
      <c r="CW68" s="248"/>
      <c r="CX68" s="248"/>
      <c r="CY68" s="248"/>
      <c r="CZ68" s="248"/>
      <c r="DA68" s="248"/>
      <c r="DB68" s="248"/>
      <c r="DC68" s="248"/>
      <c r="DD68" s="248"/>
      <c r="DE68" s="248"/>
      <c r="DF68" s="248"/>
      <c r="DG68" s="248"/>
      <c r="DH68" s="248"/>
      <c r="DI68" s="248"/>
      <c r="DJ68" s="248"/>
      <c r="DK68" s="248"/>
      <c r="DL68" s="248"/>
      <c r="DM68" s="248"/>
      <c r="DN68" s="248"/>
      <c r="DO68" s="248"/>
      <c r="DP68" s="248"/>
      <c r="DQ68" s="248"/>
      <c r="DR68" s="248"/>
      <c r="DS68" s="248"/>
    </row>
    <row r="69" spans="1:123" ht="15.75" customHeight="1">
      <c r="A69" s="243">
        <f ca="1">A68+1</f>
        <v>35</v>
      </c>
      <c r="B69" s="248"/>
      <c r="C69" s="248"/>
      <c r="D69" s="248"/>
      <c r="E69" s="248"/>
      <c r="F69" s="245"/>
      <c r="G69" s="245"/>
      <c r="H69" s="248"/>
      <c r="I69" s="235"/>
      <c r="J69" s="248"/>
      <c r="K69" s="248"/>
      <c r="L69" s="248"/>
      <c r="M69" s="248"/>
      <c r="N69" s="248"/>
      <c r="O69" s="248"/>
      <c r="P69" s="248"/>
      <c r="Q69" s="248"/>
      <c r="R69" s="248"/>
      <c r="S69" s="248"/>
      <c r="T69" s="248"/>
      <c r="U69" s="248"/>
      <c r="V69" s="248"/>
      <c r="W69" s="248"/>
      <c r="X69" s="248"/>
      <c r="Y69" s="248"/>
      <c r="Z69" s="248"/>
      <c r="AA69" s="248"/>
      <c r="AB69" s="248"/>
      <c r="AC69" s="248"/>
      <c r="AD69" s="248"/>
      <c r="AE69" s="248"/>
      <c r="AF69" s="248"/>
      <c r="AG69" s="248"/>
      <c r="AH69" s="248"/>
      <c r="AI69" s="248"/>
      <c r="AJ69" s="248"/>
      <c r="AK69" s="248"/>
      <c r="AL69" s="248"/>
      <c r="AM69" s="248"/>
      <c r="AN69" s="248"/>
      <c r="AO69" s="248"/>
      <c r="AP69" s="248"/>
      <c r="AQ69" s="248"/>
      <c r="AR69" s="248"/>
      <c r="AS69" s="248"/>
      <c r="AT69" s="248"/>
      <c r="AU69" s="248"/>
      <c r="AV69" s="248"/>
      <c r="AW69" s="248"/>
      <c r="AX69" s="248"/>
      <c r="AY69" s="248"/>
      <c r="AZ69" s="248"/>
      <c r="BA69" s="248"/>
      <c r="BB69" s="248"/>
      <c r="BC69" s="248"/>
      <c r="BD69" s="248"/>
      <c r="BE69" s="248"/>
      <c r="BF69" s="248"/>
      <c r="BG69" s="248"/>
      <c r="BH69" s="248"/>
      <c r="BI69" s="248"/>
      <c r="BJ69" s="248"/>
      <c r="BK69" s="248"/>
      <c r="BL69" s="248"/>
      <c r="BM69" s="248"/>
      <c r="BN69" s="248"/>
      <c r="BO69" s="248"/>
      <c r="BP69" s="248"/>
      <c r="BQ69" s="248"/>
      <c r="BR69" s="248"/>
      <c r="BS69" s="248"/>
      <c r="BT69" s="248"/>
      <c r="BU69" s="248"/>
      <c r="BV69" s="248"/>
      <c r="BW69" s="248"/>
      <c r="BX69" s="248"/>
      <c r="BY69" s="248"/>
      <c r="BZ69" s="248"/>
      <c r="CA69" s="248"/>
      <c r="CB69" s="248"/>
      <c r="CC69" s="248"/>
      <c r="CD69" s="248"/>
      <c r="CE69" s="248"/>
      <c r="CF69" s="248"/>
      <c r="CG69" s="248"/>
      <c r="CH69" s="248"/>
      <c r="CI69" s="248"/>
      <c r="CJ69" s="248"/>
      <c r="CK69" s="248"/>
      <c r="CL69" s="248"/>
      <c r="CM69" s="248"/>
      <c r="CN69" s="248"/>
      <c r="CO69" s="248"/>
      <c r="CP69" s="248"/>
      <c r="CQ69" s="248"/>
      <c r="CR69" s="248"/>
      <c r="CS69" s="248"/>
      <c r="CT69" s="248"/>
      <c r="CU69" s="248"/>
      <c r="CV69" s="248"/>
      <c r="CW69" s="248"/>
      <c r="CX69" s="248"/>
      <c r="CY69" s="248"/>
      <c r="CZ69" s="248"/>
      <c r="DA69" s="248"/>
      <c r="DB69" s="248"/>
      <c r="DC69" s="248"/>
      <c r="DD69" s="248"/>
      <c r="DE69" s="248"/>
      <c r="DF69" s="248"/>
      <c r="DG69" s="248"/>
      <c r="DH69" s="248"/>
      <c r="DI69" s="248"/>
      <c r="DJ69" s="248"/>
      <c r="DK69" s="248"/>
      <c r="DL69" s="248"/>
      <c r="DM69" s="248"/>
      <c r="DN69" s="248"/>
      <c r="DO69" s="248"/>
      <c r="DP69" s="248"/>
      <c r="DQ69" s="248"/>
      <c r="DR69" s="248"/>
      <c r="DS69" s="248"/>
    </row>
    <row r="70" spans="1:123" ht="15.75" customHeight="1">
      <c r="A70" s="243"/>
      <c r="B70" s="248"/>
      <c r="C70" s="248"/>
      <c r="D70" s="248"/>
      <c r="E70" s="248"/>
      <c r="F70" s="248"/>
      <c r="G70" s="248"/>
      <c r="H70" s="248"/>
      <c r="I70" s="248"/>
      <c r="J70" s="248"/>
      <c r="K70" s="248"/>
      <c r="L70" s="248"/>
      <c r="M70" s="248"/>
      <c r="N70" s="248"/>
      <c r="O70" s="248"/>
      <c r="P70" s="248"/>
      <c r="Q70" s="248"/>
      <c r="R70" s="248"/>
      <c r="S70" s="248"/>
      <c r="T70" s="248"/>
      <c r="U70" s="248"/>
      <c r="V70" s="248"/>
      <c r="W70" s="248"/>
      <c r="X70" s="248"/>
      <c r="Y70" s="248"/>
      <c r="Z70" s="248"/>
      <c r="AA70" s="248"/>
      <c r="AB70" s="248"/>
      <c r="AC70" s="248"/>
      <c r="AD70" s="248"/>
      <c r="AE70" s="248"/>
      <c r="AF70" s="248"/>
      <c r="AG70" s="248"/>
      <c r="AH70" s="248"/>
      <c r="AI70" s="248"/>
      <c r="AJ70" s="248"/>
      <c r="AK70" s="248"/>
      <c r="AL70" s="248"/>
      <c r="AM70" s="248"/>
      <c r="AN70" s="248"/>
      <c r="AO70" s="248"/>
      <c r="AP70" s="248"/>
      <c r="AQ70" s="248"/>
      <c r="AR70" s="248"/>
      <c r="AS70" s="248"/>
      <c r="AT70" s="248"/>
      <c r="AU70" s="248"/>
      <c r="AV70" s="248"/>
      <c r="AW70" s="248"/>
      <c r="AX70" s="248"/>
      <c r="AY70" s="248"/>
      <c r="AZ70" s="248"/>
      <c r="BA70" s="248"/>
      <c r="BB70" s="248"/>
      <c r="BC70" s="248"/>
      <c r="BD70" s="248"/>
      <c r="BE70" s="248"/>
      <c r="BF70" s="248"/>
      <c r="BG70" s="248"/>
      <c r="BH70" s="248"/>
      <c r="BI70" s="248"/>
      <c r="BJ70" s="248"/>
      <c r="BK70" s="248"/>
      <c r="BL70" s="248"/>
      <c r="BM70" s="248"/>
      <c r="BN70" s="248"/>
      <c r="BO70" s="248"/>
      <c r="BP70" s="248"/>
      <c r="BQ70" s="248"/>
      <c r="BR70" s="248"/>
      <c r="BS70" s="248"/>
      <c r="BT70" s="248"/>
      <c r="BU70" s="248"/>
      <c r="BV70" s="248"/>
      <c r="BW70" s="248"/>
      <c r="BX70" s="248"/>
      <c r="BY70" s="248"/>
      <c r="BZ70" s="248"/>
      <c r="CA70" s="248"/>
      <c r="CB70" s="248"/>
      <c r="CC70" s="248"/>
      <c r="CD70" s="248"/>
      <c r="CE70" s="248"/>
      <c r="CF70" s="248"/>
      <c r="CG70" s="248"/>
      <c r="CH70" s="248"/>
      <c r="CI70" s="248"/>
      <c r="CJ70" s="248"/>
      <c r="CK70" s="248"/>
      <c r="CL70" s="248"/>
      <c r="CM70" s="248"/>
      <c r="CN70" s="248"/>
      <c r="CO70" s="248"/>
      <c r="CP70" s="248"/>
      <c r="CQ70" s="248"/>
      <c r="CR70" s="248"/>
      <c r="CS70" s="248"/>
      <c r="CT70" s="248"/>
      <c r="CU70" s="248"/>
      <c r="CV70" s="248"/>
      <c r="CW70" s="248"/>
      <c r="CX70" s="248"/>
      <c r="CY70" s="248"/>
      <c r="CZ70" s="248"/>
      <c r="DA70" s="248"/>
      <c r="DB70" s="248"/>
      <c r="DC70" s="248"/>
      <c r="DD70" s="248"/>
      <c r="DE70" s="248"/>
      <c r="DF70" s="248"/>
      <c r="DG70" s="248"/>
      <c r="DH70" s="248"/>
      <c r="DI70" s="248"/>
      <c r="DJ70" s="248"/>
      <c r="DK70" s="248"/>
      <c r="DL70" s="248"/>
      <c r="DM70" s="248"/>
      <c r="DN70" s="248"/>
      <c r="DO70" s="248"/>
      <c r="DP70" s="248"/>
      <c r="DQ70" s="248"/>
      <c r="DR70" s="248"/>
      <c r="DS70" s="248"/>
    </row>
    <row r="71" spans="1:123" ht="63" customHeight="1">
      <c r="A71" s="259" t="s">
        <v>144</v>
      </c>
      <c r="B71" s="248"/>
      <c r="C71" s="248"/>
      <c r="D71" s="248"/>
      <c r="E71" s="248"/>
      <c r="F71" s="260"/>
      <c r="G71" s="259" t="s">
        <v>145</v>
      </c>
      <c r="H71" s="259" t="s">
        <v>145</v>
      </c>
      <c r="I71" s="259" t="s">
        <v>145</v>
      </c>
      <c r="J71" s="248"/>
      <c r="K71" s="248"/>
      <c r="L71" s="248"/>
      <c r="M71" s="248"/>
      <c r="N71" s="248"/>
      <c r="O71" s="248"/>
      <c r="P71" s="248"/>
      <c r="Q71" s="248"/>
      <c r="R71" s="248"/>
      <c r="S71" s="248"/>
      <c r="T71" s="248"/>
      <c r="U71" s="248"/>
      <c r="V71" s="248"/>
      <c r="W71" s="248"/>
      <c r="X71" s="248"/>
      <c r="Y71" s="248"/>
      <c r="Z71" s="260"/>
      <c r="AA71" s="260"/>
      <c r="AB71" s="248"/>
      <c r="AC71" s="248"/>
      <c r="AD71" s="248"/>
      <c r="AE71" s="259"/>
      <c r="AF71" s="259"/>
      <c r="AG71" s="259"/>
      <c r="AH71" s="259" t="s">
        <v>145</v>
      </c>
      <c r="AI71" s="259"/>
      <c r="AJ71" s="259"/>
      <c r="AK71" s="248"/>
      <c r="AL71" s="248"/>
      <c r="AM71" s="248"/>
      <c r="AN71" s="259"/>
      <c r="AO71" s="248"/>
      <c r="AP71" s="248"/>
      <c r="AQ71" s="248"/>
      <c r="AR71" s="248"/>
      <c r="AS71" s="248"/>
      <c r="AT71" s="248"/>
      <c r="AU71" s="259" t="s">
        <v>145</v>
      </c>
      <c r="AV71" s="259" t="s">
        <v>145</v>
      </c>
      <c r="AW71" s="259" t="s">
        <v>145</v>
      </c>
      <c r="AX71" s="248"/>
      <c r="AY71" s="248"/>
      <c r="AZ71" s="248"/>
      <c r="BA71" s="248"/>
      <c r="BB71" s="248"/>
      <c r="BC71" s="248"/>
      <c r="BD71" s="248"/>
      <c r="BE71" s="248"/>
      <c r="BF71" s="248"/>
      <c r="BG71" s="248"/>
      <c r="BH71" s="248"/>
      <c r="BI71" s="248"/>
      <c r="BJ71" s="248"/>
      <c r="BK71" s="248"/>
      <c r="BL71" s="248"/>
      <c r="BM71" s="248"/>
      <c r="BN71" s="248"/>
      <c r="BO71" s="248"/>
      <c r="BP71" s="248"/>
      <c r="BQ71" s="248"/>
      <c r="BR71" s="248"/>
      <c r="BS71" s="248"/>
      <c r="BT71" s="248"/>
      <c r="BU71" s="248"/>
      <c r="BV71" s="248"/>
      <c r="BW71" s="248"/>
      <c r="BX71" s="248"/>
      <c r="BY71" s="248"/>
      <c r="BZ71" s="248"/>
      <c r="CA71" s="248"/>
      <c r="CB71" s="248"/>
      <c r="CC71" s="248"/>
      <c r="CD71" s="248"/>
      <c r="CE71" s="248"/>
      <c r="CF71" s="248"/>
      <c r="CG71" s="248"/>
      <c r="CH71" s="248"/>
      <c r="CI71" s="248"/>
      <c r="CJ71" s="248"/>
      <c r="CK71" s="248"/>
      <c r="CL71" s="248"/>
      <c r="CM71" s="248"/>
      <c r="CN71" s="248"/>
      <c r="CO71" s="248"/>
      <c r="CP71" s="248"/>
      <c r="CQ71" s="248"/>
      <c r="CR71" s="248"/>
      <c r="CS71" s="248"/>
      <c r="CT71" s="248"/>
      <c r="CU71" s="248"/>
      <c r="CV71" s="248"/>
      <c r="CW71" s="248"/>
      <c r="CX71" s="248"/>
      <c r="CY71" s="248"/>
      <c r="CZ71" s="248"/>
      <c r="DA71" s="248"/>
      <c r="DB71" s="248"/>
      <c r="DC71" s="248"/>
      <c r="DD71" s="248"/>
      <c r="DE71" s="248"/>
      <c r="DF71" s="248"/>
      <c r="DG71" s="248"/>
      <c r="DH71" s="248"/>
      <c r="DI71" s="248"/>
      <c r="DJ71" s="248"/>
      <c r="DK71" s="248"/>
      <c r="DL71" s="248"/>
      <c r="DM71" s="248"/>
      <c r="DN71" s="248"/>
      <c r="DO71" s="248"/>
      <c r="DP71" s="248"/>
      <c r="DQ71" s="248"/>
      <c r="DR71" s="248"/>
      <c r="DS71" s="248"/>
    </row>
    <row r="72" spans="1:123" ht="15.75" customHeight="1">
      <c r="A72" s="261">
        <f>A73-1</f>
        <v>9</v>
      </c>
      <c r="B72" s="248"/>
      <c r="C72" s="248"/>
      <c r="D72" s="248"/>
      <c r="E72" s="248"/>
      <c r="F72" s="241">
        <f ca="1">VLOOKUP($A$73,5:1009,F1)</f>
        <v>204356.63110738579</v>
      </c>
      <c r="G72" s="248"/>
      <c r="H72" s="248"/>
      <c r="I72" s="241">
        <f ca="1">VLOOKUP($A$73,5:1009,I1)</f>
        <v>12450</v>
      </c>
      <c r="J72" s="248"/>
      <c r="K72" s="248"/>
      <c r="L72" s="248"/>
      <c r="M72" s="248"/>
      <c r="N72" s="248"/>
      <c r="O72" s="248"/>
      <c r="P72" s="248"/>
      <c r="Q72" s="248"/>
      <c r="R72" s="248"/>
      <c r="S72" s="248"/>
      <c r="T72" s="248"/>
      <c r="U72" s="248"/>
      <c r="V72" s="248"/>
      <c r="W72" s="248"/>
      <c r="X72" s="248"/>
      <c r="Y72" s="248"/>
      <c r="Z72" s="248"/>
      <c r="AA72" s="248"/>
      <c r="AB72" s="248"/>
      <c r="AC72" s="248"/>
      <c r="AD72" s="248"/>
      <c r="AE72" s="248"/>
      <c r="AF72" s="248"/>
      <c r="AG72" s="248"/>
      <c r="AH72" s="235"/>
      <c r="AI72" s="248"/>
      <c r="AJ72" s="248"/>
      <c r="AK72" s="248"/>
      <c r="AL72" s="248"/>
      <c r="AM72" s="248"/>
      <c r="AN72" s="248"/>
      <c r="AO72" s="235"/>
      <c r="AP72" s="235"/>
      <c r="AQ72" s="248"/>
      <c r="AR72" s="248"/>
      <c r="AS72" s="248"/>
      <c r="AT72" s="248"/>
      <c r="AU72" s="235"/>
      <c r="AV72" s="235"/>
      <c r="AW72" s="235"/>
      <c r="AX72" s="248"/>
      <c r="AY72" s="248"/>
      <c r="AZ72" s="248"/>
      <c r="BA72" s="248"/>
      <c r="BB72" s="248"/>
      <c r="BC72" s="248"/>
      <c r="BD72" s="248"/>
      <c r="BE72" s="248"/>
      <c r="BF72" s="235"/>
      <c r="BG72" s="235"/>
      <c r="BH72" s="248"/>
      <c r="BI72" s="248"/>
      <c r="BJ72" s="248"/>
      <c r="BK72" s="248"/>
      <c r="BL72" s="248"/>
      <c r="BM72" s="248"/>
      <c r="BN72" s="248"/>
      <c r="BO72" s="248"/>
      <c r="BP72" s="248"/>
      <c r="BQ72" s="248"/>
      <c r="BR72" s="248"/>
      <c r="BS72" s="248"/>
      <c r="BT72" s="248"/>
      <c r="BU72" s="248"/>
      <c r="BV72" s="248"/>
      <c r="BW72" s="248"/>
      <c r="BX72" s="248"/>
      <c r="BY72" s="248"/>
      <c r="BZ72" s="248"/>
      <c r="CA72" s="248"/>
      <c r="CB72" s="248"/>
      <c r="CC72" s="248"/>
      <c r="CD72" s="248"/>
      <c r="CE72" s="248"/>
      <c r="CF72" s="248"/>
      <c r="CG72" s="248"/>
      <c r="CH72" s="248"/>
      <c r="CI72" s="248"/>
      <c r="CJ72" s="248"/>
      <c r="CK72" s="248"/>
      <c r="CL72" s="248"/>
      <c r="CM72" s="248"/>
      <c r="CN72" s="248"/>
      <c r="CO72" s="248"/>
      <c r="CP72" s="248"/>
      <c r="CQ72" s="248"/>
      <c r="CR72" s="248"/>
      <c r="CS72" s="248"/>
      <c r="CT72" s="248"/>
      <c r="CU72" s="248"/>
      <c r="CV72" s="248"/>
      <c r="CW72" s="248"/>
      <c r="CX72" s="248"/>
      <c r="CY72" s="248"/>
      <c r="CZ72" s="248"/>
      <c r="DA72" s="248"/>
      <c r="DB72" s="248"/>
      <c r="DC72" s="248"/>
      <c r="DD72" s="248"/>
      <c r="DE72" s="248"/>
      <c r="DF72" s="248"/>
      <c r="DG72" s="248"/>
      <c r="DH72" s="248"/>
      <c r="DI72" s="248"/>
      <c r="DJ72" s="248"/>
      <c r="DK72" s="248"/>
      <c r="DL72" s="248"/>
      <c r="DM72" s="248"/>
      <c r="DN72" s="248"/>
      <c r="DO72" s="248"/>
      <c r="DP72" s="248"/>
      <c r="DQ72" s="248"/>
      <c r="DR72" s="248"/>
      <c r="DS72" s="248"/>
    </row>
    <row r="73" spans="1:123" ht="15.75" customHeight="1">
      <c r="A73" s="261">
        <f>'CF-Berechnung'!G6</f>
        <v>10</v>
      </c>
      <c r="B73" s="244">
        <f t="shared" ref="B73:E73" ca="1" si="193">VLOOKUP($A$73,5:1009,B1)</f>
        <v>275050.9092273899</v>
      </c>
      <c r="C73" s="241">
        <f t="shared" ca="1" si="193"/>
        <v>0</v>
      </c>
      <c r="D73" s="244">
        <f t="shared" ca="1" si="193"/>
        <v>275050.9092273899</v>
      </c>
      <c r="E73" s="241">
        <f t="shared" ca="1" si="193"/>
        <v>0</v>
      </c>
      <c r="F73" s="245">
        <f ca="1">MAX(-FV('CF-Berechnung'!$E$18/12,1*12,(-I73/12),'CF-Berechnung'!$D$17,0),0)</f>
        <v>200193.72887878306</v>
      </c>
      <c r="G73" s="245">
        <f ca="1">I73-H73</f>
        <v>8098.4956378404149</v>
      </c>
      <c r="H73" s="241">
        <f ca="1">F72-F73</f>
        <v>4162.9022286027321</v>
      </c>
      <c r="I73" s="241">
        <f ca="1">$F$72*('CF-Berechnung'!E18+'CF-Berechnung'!E27)</f>
        <v>12261.397866443147</v>
      </c>
      <c r="J73" s="241">
        <f t="shared" ref="J73:AD73" ca="1" si="194">VLOOKUP($A$73,5:1009,J1)</f>
        <v>204356.63110738579</v>
      </c>
      <c r="K73" s="241">
        <f t="shared" ca="1" si="194"/>
        <v>7251.5620196245727</v>
      </c>
      <c r="L73" s="241">
        <f t="shared" ca="1" si="194"/>
        <v>5198.4379803754273</v>
      </c>
      <c r="M73" s="241">
        <f t="shared" ca="1" si="194"/>
        <v>12450</v>
      </c>
      <c r="N73" s="241">
        <f t="shared" ca="1" si="194"/>
        <v>204356.63110738579</v>
      </c>
      <c r="O73" s="241">
        <f t="shared" ca="1" si="194"/>
        <v>7251.5620196245727</v>
      </c>
      <c r="P73" s="241">
        <f t="shared" ca="1" si="194"/>
        <v>5198.4379803754273</v>
      </c>
      <c r="Q73" s="241">
        <f t="shared" ca="1" si="194"/>
        <v>12450</v>
      </c>
      <c r="R73" s="250">
        <f t="shared" ca="1" si="194"/>
        <v>-1741.0108539689825</v>
      </c>
      <c r="S73" s="250">
        <f t="shared" ca="1" si="194"/>
        <v>-292.5586607987417</v>
      </c>
      <c r="T73" s="250">
        <f t="shared" ca="1" si="194"/>
        <v>-1018.2188684662088</v>
      </c>
      <c r="U73" s="250">
        <f t="shared" ca="1" si="194"/>
        <v>-430.23332470403193</v>
      </c>
      <c r="V73" s="250">
        <f t="shared" ca="1" si="194"/>
        <v>-731.39665199685419</v>
      </c>
      <c r="W73" s="241">
        <f t="shared" ca="1" si="194"/>
        <v>12189.944199947571</v>
      </c>
      <c r="X73" s="241">
        <f t="shared" ca="1" si="194"/>
        <v>13896.536387940228</v>
      </c>
      <c r="Y73" s="241">
        <f t="shared" ca="1" si="194"/>
        <v>0</v>
      </c>
      <c r="Z73" s="241">
        <f t="shared" ca="1" si="194"/>
        <v>0</v>
      </c>
      <c r="AA73" s="241">
        <f t="shared" ca="1" si="194"/>
        <v>0</v>
      </c>
      <c r="AB73" s="241">
        <f t="shared" ca="1" si="194"/>
        <v>95607.405489784869</v>
      </c>
      <c r="AC73" s="241">
        <f t="shared" ca="1" si="194"/>
        <v>30182</v>
      </c>
      <c r="AD73" s="241">
        <f t="shared" ca="1" si="194"/>
        <v>21076</v>
      </c>
      <c r="AE73" s="248"/>
      <c r="AF73" s="248"/>
      <c r="AG73" s="248"/>
      <c r="AH73" s="235">
        <f ca="1">-R73-G73+X73</f>
        <v>7539.0516040687962</v>
      </c>
      <c r="AI73" s="248"/>
      <c r="AJ73" s="248"/>
      <c r="AK73" s="248">
        <f t="shared" ref="AK73:AM73" ca="1" si="195">VLOOKUP($A$73,5:1009,AK1)</f>
        <v>0</v>
      </c>
      <c r="AL73" s="241">
        <f t="shared" ca="1" si="195"/>
        <v>190858.5</v>
      </c>
      <c r="AM73" s="241">
        <f t="shared" ca="1" si="195"/>
        <v>3817.17</v>
      </c>
      <c r="AN73" s="248"/>
      <c r="AO73" s="235"/>
      <c r="AP73" s="235"/>
      <c r="AQ73" s="248"/>
      <c r="AR73" s="248"/>
      <c r="AS73" s="248"/>
      <c r="AT73" s="241">
        <f ca="1">VLOOKUP($A$73,5:1009,AT1)</f>
        <v>29921</v>
      </c>
      <c r="AU73" s="235">
        <f ca="1">AB73+AH73-AM73</f>
        <v>99329.287093853665</v>
      </c>
      <c r="AV73" s="235">
        <f ca="1">IF(AND(AU73&gt;Steuern!$D$6,AU73&lt;Steuern!$D$10),INT((Steuern!$H$8*(AU73-Steuern!$D$6)/10000+Steuern!$I$8)*(AU73-Steuern!$D$6)/10000),IF(AND(AU73&gt;Steuern!$F$8,AU73&lt;Steuern!$D$12),INT((Steuern!$H$10*(AU73-Steuern!$F$8)/10000+Steuern!$I$10)*(AU73-Steuern!$F$8)/10000+Steuern!$J$10),IF(AND(AU73&gt;Steuern!$F$10,AU73&lt;Steuern!$D$14),INT(AU73*Steuern!$H$12-Steuern!$I$12),IF(AU73&gt;Steuern!$F$12,INT(AU73*Steuern!$H$14-Steuern!$I$14),0))))</f>
        <v>31745</v>
      </c>
      <c r="AW73" s="235">
        <f ca="1">IF(AND(AU73/2&gt;Steuern!$D$6,AU73/2&lt;Steuern!$D$10),INT((Steuern!$H$8*(AU73/2-Steuern!$D$8)/10000+Steuern!$I$8)*(AU73/2-Steuern!$D$6)/10000),IF(AND(AU73/2&gt;Steuern!$F$8,AU73/2&lt;Steuern!$D$12),INT((Steuern!$H$10*(AU73/2-Steuern!$F$8)/10000+Steuern!$I$10)*(AU73/2-Steuern!$F$8)/10000+Steuern!$J$10),IF(AND(AU73/2&gt;Steuern!$F$10,AU73/2&lt;Steuern!$D$14),INT(AU73/2*Steuern!$H$12-Steuern!$I$12),IF(AU73/2&gt;Steuern!$F$12,INT(AU73/2*Steuern!$H$14-Steuern!$I$14),0))))*2</f>
        <v>22436</v>
      </c>
      <c r="AX73" s="248"/>
      <c r="AY73" s="248"/>
      <c r="AZ73" s="248"/>
      <c r="BA73" s="241">
        <f ca="1">VLOOKUP($A$73,5:1009,BA1)</f>
        <v>30638</v>
      </c>
      <c r="BB73" s="248"/>
      <c r="BC73" s="248"/>
      <c r="BD73" s="241">
        <f t="shared" ref="BD73:BE73" ca="1" si="196">VLOOKUP($A$73,5:1009,BD1)</f>
        <v>261</v>
      </c>
      <c r="BE73" s="241">
        <f t="shared" ca="1" si="196"/>
        <v>261</v>
      </c>
      <c r="BF73" s="235">
        <f t="shared" ref="BF73:BG73" ca="1" si="197">AC73-AV73</f>
        <v>-1563</v>
      </c>
      <c r="BG73" s="235">
        <f t="shared" ca="1" si="197"/>
        <v>-1360</v>
      </c>
      <c r="BH73" s="241">
        <f t="shared" ref="BH73:DQ73" ca="1" si="198">VLOOKUP($A$73,5:1009,BH1)</f>
        <v>-456</v>
      </c>
      <c r="BI73" s="241">
        <f t="shared" ca="1" si="198"/>
        <v>-456</v>
      </c>
      <c r="BJ73" s="241">
        <f t="shared" ca="1" si="198"/>
        <v>-2471.4633060182659</v>
      </c>
      <c r="BK73" s="241">
        <f t="shared" ca="1" si="198"/>
        <v>-2508.4633060182659</v>
      </c>
      <c r="BL73" s="241">
        <f t="shared" ca="1" si="198"/>
        <v>-2471.4633060182659</v>
      </c>
      <c r="BM73" s="241">
        <f t="shared" ca="1" si="198"/>
        <v>-2471.4633060182659</v>
      </c>
      <c r="BN73" s="241">
        <f t="shared" ca="1" si="198"/>
        <v>-2471.4633060182659</v>
      </c>
      <c r="BO73" s="241">
        <f t="shared" ca="1" si="198"/>
        <v>-49756.628606931547</v>
      </c>
      <c r="BP73" s="241">
        <f t="shared" ca="1" si="198"/>
        <v>-2508.4633060182659</v>
      </c>
      <c r="BQ73" s="241">
        <f t="shared" ca="1" si="198"/>
        <v>-51542.628606931547</v>
      </c>
      <c r="BR73" s="241">
        <f t="shared" ca="1" si="198"/>
        <v>-2471.4633060182659</v>
      </c>
      <c r="BS73" s="241">
        <f t="shared" ca="1" si="198"/>
        <v>-49756.628606931547</v>
      </c>
      <c r="BT73" s="241">
        <f t="shared" ca="1" si="198"/>
        <v>-2471.4633060182659</v>
      </c>
      <c r="BU73" s="241">
        <f t="shared" ca="1" si="198"/>
        <v>-49756.628606931547</v>
      </c>
      <c r="BV73" s="241">
        <f t="shared" ca="1" si="198"/>
        <v>-1481.8711180256087</v>
      </c>
      <c r="BW73" s="241">
        <f t="shared" ca="1" si="198"/>
        <v>-1419.8711180256087</v>
      </c>
      <c r="BX73" s="241">
        <f t="shared" ca="1" si="198"/>
        <v>-1481.8711180256087</v>
      </c>
      <c r="BY73" s="241">
        <f t="shared" ca="1" si="198"/>
        <v>-1481.8711180256087</v>
      </c>
      <c r="BZ73" s="241">
        <f t="shared" ca="1" si="198"/>
        <v>-1481.8711180256087</v>
      </c>
      <c r="CA73" s="241">
        <f t="shared" ca="1" si="198"/>
        <v>-40686.427019305906</v>
      </c>
      <c r="CB73" s="241">
        <f t="shared" ca="1" si="198"/>
        <v>-1419.8711180256087</v>
      </c>
      <c r="CC73" s="241">
        <f t="shared" ca="1" si="198"/>
        <v>-41294.427019305906</v>
      </c>
      <c r="CD73" s="241">
        <f t="shared" ca="1" si="198"/>
        <v>-1481.8711180256087</v>
      </c>
      <c r="CE73" s="241">
        <f t="shared" ca="1" si="198"/>
        <v>-40686.427019305906</v>
      </c>
      <c r="CF73" s="241">
        <f t="shared" ca="1" si="198"/>
        <v>-1481.8711180256087</v>
      </c>
      <c r="CG73" s="241">
        <f t="shared" ca="1" si="198"/>
        <v>-40686.427019305906</v>
      </c>
      <c r="CH73" s="248">
        <f t="shared" ca="1" si="198"/>
        <v>0</v>
      </c>
      <c r="CI73" s="249">
        <f t="shared" ca="1" si="198"/>
        <v>49188</v>
      </c>
      <c r="CJ73" s="241">
        <f t="shared" ca="1" si="198"/>
        <v>-2471.4633060182659</v>
      </c>
      <c r="CK73" s="241">
        <f t="shared" ca="1" si="198"/>
        <v>-2471.4633060182659</v>
      </c>
      <c r="CL73" s="241">
        <f t="shared" ca="1" si="198"/>
        <v>-2471.4633060182659</v>
      </c>
      <c r="CM73" s="241">
        <f t="shared" ca="1" si="198"/>
        <v>-2471.4633060182659</v>
      </c>
      <c r="CN73" s="241">
        <f t="shared" ca="1" si="198"/>
        <v>0</v>
      </c>
      <c r="CO73" s="241">
        <f t="shared" ca="1" si="198"/>
        <v>0</v>
      </c>
      <c r="CP73" s="241">
        <f t="shared" ca="1" si="198"/>
        <v>0</v>
      </c>
      <c r="CQ73" s="241">
        <f t="shared" ca="1" si="198"/>
        <v>0</v>
      </c>
      <c r="CR73" s="241">
        <f t="shared" ca="1" si="198"/>
        <v>0</v>
      </c>
      <c r="CS73" s="241">
        <f t="shared" ca="1" si="198"/>
        <v>0</v>
      </c>
      <c r="CT73" s="241">
        <f t="shared" ca="1" si="198"/>
        <v>0</v>
      </c>
      <c r="CU73" s="241">
        <f t="shared" ca="1" si="198"/>
        <v>0</v>
      </c>
      <c r="CV73" s="241">
        <f t="shared" ca="1" si="198"/>
        <v>0</v>
      </c>
      <c r="CW73" s="241">
        <f t="shared" ca="1" si="198"/>
        <v>0</v>
      </c>
      <c r="CX73" s="241">
        <f t="shared" ca="1" si="198"/>
        <v>0</v>
      </c>
      <c r="CY73" s="241">
        <f t="shared" ca="1" si="198"/>
        <v>0</v>
      </c>
      <c r="CZ73" s="241">
        <f t="shared" ca="1" si="198"/>
        <v>-1481.8711180256087</v>
      </c>
      <c r="DA73" s="241">
        <f t="shared" ca="1" si="198"/>
        <v>-2471.4633060182659</v>
      </c>
      <c r="DB73" s="241">
        <f t="shared" ca="1" si="198"/>
        <v>-1481.8711180256087</v>
      </c>
      <c r="DC73" s="241">
        <f t="shared" ca="1" si="198"/>
        <v>-1481.8711180256087</v>
      </c>
      <c r="DD73" s="241">
        <f t="shared" ca="1" si="198"/>
        <v>-1481.8711180256087</v>
      </c>
      <c r="DE73" s="241">
        <f t="shared" ca="1" si="198"/>
        <v>-1481.8711180256087</v>
      </c>
      <c r="DF73" s="241">
        <f t="shared" ca="1" si="198"/>
        <v>0</v>
      </c>
      <c r="DG73" s="241">
        <f t="shared" ca="1" si="198"/>
        <v>0</v>
      </c>
      <c r="DH73" s="241">
        <f t="shared" ca="1" si="198"/>
        <v>0</v>
      </c>
      <c r="DI73" s="241">
        <f t="shared" ca="1" si="198"/>
        <v>0</v>
      </c>
      <c r="DJ73" s="241">
        <f t="shared" ca="1" si="198"/>
        <v>0</v>
      </c>
      <c r="DK73" s="241">
        <f t="shared" ca="1" si="198"/>
        <v>0</v>
      </c>
      <c r="DL73" s="241">
        <f t="shared" ca="1" si="198"/>
        <v>0</v>
      </c>
      <c r="DM73" s="241">
        <f t="shared" ca="1" si="198"/>
        <v>0</v>
      </c>
      <c r="DN73" s="241">
        <f t="shared" ca="1" si="198"/>
        <v>0</v>
      </c>
      <c r="DO73" s="241">
        <f t="shared" ca="1" si="198"/>
        <v>0</v>
      </c>
      <c r="DP73" s="241">
        <f t="shared" ca="1" si="198"/>
        <v>0</v>
      </c>
      <c r="DQ73" s="241">
        <f t="shared" ca="1" si="198"/>
        <v>0</v>
      </c>
      <c r="DR73" s="248"/>
      <c r="DS73" s="241">
        <f ca="1">VLOOKUP($A$73,5:1009,DS1)</f>
        <v>-1481.8711180256087</v>
      </c>
    </row>
    <row r="74" spans="1:123" ht="15.75" customHeight="1">
      <c r="A74" s="243"/>
      <c r="B74" s="248"/>
      <c r="C74" s="248"/>
      <c r="D74" s="248"/>
      <c r="E74" s="248"/>
      <c r="F74" s="245"/>
      <c r="G74" s="245"/>
      <c r="H74" s="248"/>
      <c r="I74" s="241"/>
      <c r="J74" s="248"/>
      <c r="K74" s="248"/>
      <c r="L74" s="248"/>
      <c r="M74" s="248"/>
      <c r="N74" s="248"/>
      <c r="O74" s="248"/>
      <c r="P74" s="248"/>
      <c r="Q74" s="248"/>
      <c r="R74" s="248"/>
      <c r="S74" s="248"/>
      <c r="T74" s="248"/>
      <c r="U74" s="248"/>
      <c r="V74" s="248"/>
      <c r="W74" s="248"/>
      <c r="X74" s="248"/>
      <c r="Y74" s="248"/>
      <c r="Z74" s="248"/>
      <c r="AA74" s="248"/>
      <c r="AB74" s="248"/>
      <c r="AC74" s="248"/>
      <c r="AD74" s="248"/>
      <c r="AE74" s="248"/>
      <c r="AF74" s="248"/>
      <c r="AG74" s="248"/>
      <c r="AH74" s="248"/>
      <c r="AI74" s="248"/>
      <c r="AJ74" s="248"/>
      <c r="AK74" s="248"/>
      <c r="AL74" s="248"/>
      <c r="AM74" s="248"/>
      <c r="AN74" s="248"/>
      <c r="AO74" s="248"/>
      <c r="AP74" s="248"/>
      <c r="AQ74" s="248"/>
      <c r="AR74" s="248"/>
      <c r="AS74" s="248"/>
      <c r="AT74" s="248"/>
      <c r="AU74" s="248"/>
      <c r="AV74" s="248"/>
      <c r="AW74" s="248"/>
      <c r="AX74" s="248"/>
      <c r="AY74" s="248"/>
      <c r="AZ74" s="248"/>
      <c r="BA74" s="248"/>
      <c r="BB74" s="248"/>
      <c r="BC74" s="248"/>
      <c r="BD74" s="248"/>
      <c r="BE74" s="248"/>
      <c r="BF74" s="248"/>
      <c r="BG74" s="248"/>
      <c r="BH74" s="248"/>
      <c r="BI74" s="248"/>
      <c r="BJ74" s="248"/>
      <c r="BK74" s="248"/>
      <c r="BL74" s="248"/>
      <c r="BM74" s="248"/>
      <c r="BN74" s="248"/>
      <c r="BO74" s="248"/>
      <c r="BP74" s="248"/>
      <c r="BQ74" s="248"/>
      <c r="BR74" s="248"/>
      <c r="BS74" s="248"/>
      <c r="BT74" s="248"/>
      <c r="BU74" s="248"/>
      <c r="BV74" s="248"/>
      <c r="BW74" s="248"/>
      <c r="BX74" s="248"/>
      <c r="BY74" s="248"/>
      <c r="BZ74" s="248"/>
      <c r="CA74" s="248"/>
      <c r="CB74" s="248"/>
      <c r="CC74" s="248"/>
      <c r="CD74" s="248"/>
      <c r="CE74" s="248"/>
      <c r="CF74" s="248"/>
      <c r="CG74" s="248"/>
      <c r="CH74" s="248"/>
      <c r="CI74" s="248"/>
      <c r="CJ74" s="248"/>
      <c r="CK74" s="248"/>
      <c r="CL74" s="248"/>
      <c r="CM74" s="248"/>
      <c r="CN74" s="248"/>
      <c r="CO74" s="248"/>
      <c r="CP74" s="248"/>
      <c r="CQ74" s="248"/>
      <c r="CR74" s="248"/>
      <c r="CS74" s="248"/>
      <c r="CT74" s="248"/>
      <c r="CU74" s="248"/>
      <c r="CV74" s="248"/>
      <c r="CW74" s="248"/>
      <c r="CX74" s="248"/>
      <c r="CY74" s="248"/>
      <c r="CZ74" s="248"/>
      <c r="DA74" s="248"/>
      <c r="DB74" s="248"/>
      <c r="DC74" s="248"/>
      <c r="DD74" s="248"/>
      <c r="DE74" s="248"/>
      <c r="DF74" s="248"/>
      <c r="DG74" s="248"/>
      <c r="DH74" s="248"/>
      <c r="DI74" s="248"/>
      <c r="DJ74" s="248"/>
      <c r="DK74" s="248"/>
      <c r="DL74" s="248"/>
      <c r="DM74" s="248"/>
      <c r="DN74" s="248"/>
      <c r="DO74" s="248"/>
      <c r="DP74" s="248"/>
      <c r="DQ74" s="248"/>
      <c r="DR74" s="248"/>
      <c r="DS74" s="248"/>
    </row>
    <row r="75" spans="1:123" ht="15.75" customHeight="1">
      <c r="A75" s="243">
        <v>9</v>
      </c>
      <c r="B75" s="248"/>
      <c r="C75" s="248"/>
      <c r="D75" s="248"/>
      <c r="E75" s="248"/>
      <c r="F75" s="241"/>
      <c r="G75" s="245"/>
      <c r="H75" s="248"/>
      <c r="I75" s="241"/>
      <c r="J75" s="248"/>
      <c r="K75" s="248"/>
      <c r="L75" s="248"/>
      <c r="M75" s="248"/>
      <c r="N75" s="248"/>
      <c r="O75" s="248"/>
      <c r="P75" s="248"/>
      <c r="Q75" s="248"/>
      <c r="R75" s="248"/>
      <c r="S75" s="248"/>
      <c r="T75" s="248"/>
      <c r="U75" s="248"/>
      <c r="V75" s="248"/>
      <c r="W75" s="248"/>
      <c r="X75" s="248"/>
      <c r="Y75" s="248"/>
      <c r="Z75" s="248"/>
      <c r="AA75" s="248"/>
      <c r="AB75" s="248"/>
      <c r="AC75" s="248"/>
      <c r="AD75" s="248"/>
      <c r="AE75" s="248"/>
      <c r="AF75" s="248"/>
      <c r="AG75" s="248"/>
      <c r="AH75" s="248"/>
      <c r="AI75" s="248"/>
      <c r="AJ75" s="248"/>
      <c r="AK75" s="248"/>
      <c r="AL75" s="248"/>
      <c r="AM75" s="248"/>
      <c r="AN75" s="248"/>
      <c r="AO75" s="248"/>
      <c r="AP75" s="248"/>
      <c r="AQ75" s="248"/>
      <c r="AR75" s="248"/>
      <c r="AS75" s="248"/>
      <c r="AT75" s="248"/>
      <c r="AU75" s="248"/>
      <c r="AV75" s="248"/>
      <c r="AW75" s="248"/>
      <c r="AX75" s="248"/>
      <c r="AY75" s="248"/>
      <c r="AZ75" s="248"/>
      <c r="BA75" s="248"/>
      <c r="BB75" s="248"/>
      <c r="BC75" s="248"/>
      <c r="BD75" s="248"/>
      <c r="BE75" s="248"/>
      <c r="BF75" s="248"/>
      <c r="BG75" s="248"/>
      <c r="BH75" s="248"/>
      <c r="BI75" s="248"/>
      <c r="BJ75" s="248"/>
      <c r="BK75" s="248"/>
      <c r="BL75" s="248"/>
      <c r="BM75" s="248"/>
      <c r="BN75" s="248"/>
      <c r="BO75" s="248"/>
      <c r="BP75" s="248"/>
      <c r="BQ75" s="248"/>
      <c r="BR75" s="248"/>
      <c r="BS75" s="248"/>
      <c r="BT75" s="248"/>
      <c r="BU75" s="248"/>
      <c r="BV75" s="248"/>
      <c r="BW75" s="248"/>
      <c r="BX75" s="248"/>
      <c r="BY75" s="248"/>
      <c r="BZ75" s="248"/>
      <c r="CA75" s="248"/>
      <c r="CB75" s="248"/>
      <c r="CC75" s="248"/>
      <c r="CD75" s="248"/>
      <c r="CE75" s="248"/>
      <c r="CF75" s="248"/>
      <c r="CG75" s="248"/>
      <c r="CH75" s="248"/>
      <c r="CI75" s="248"/>
      <c r="CJ75" s="248"/>
      <c r="CK75" s="248"/>
      <c r="CL75" s="248"/>
      <c r="CM75" s="248"/>
      <c r="CN75" s="248"/>
      <c r="CO75" s="248"/>
      <c r="CP75" s="248"/>
      <c r="CQ75" s="248"/>
      <c r="CR75" s="248"/>
      <c r="CS75" s="248"/>
      <c r="CT75" s="248"/>
      <c r="CU75" s="248"/>
      <c r="CV75" s="248"/>
      <c r="CW75" s="248"/>
      <c r="CX75" s="248"/>
      <c r="CY75" s="248"/>
      <c r="CZ75" s="248"/>
      <c r="DA75" s="248"/>
      <c r="DB75" s="248"/>
      <c r="DC75" s="248"/>
      <c r="DD75" s="248"/>
      <c r="DE75" s="248"/>
      <c r="DF75" s="248"/>
      <c r="DG75" s="248"/>
      <c r="DH75" s="248"/>
      <c r="DI75" s="248"/>
      <c r="DJ75" s="248"/>
      <c r="DK75" s="248"/>
      <c r="DL75" s="248"/>
      <c r="DM75" s="248"/>
      <c r="DN75" s="248"/>
      <c r="DO75" s="248"/>
      <c r="DP75" s="248"/>
      <c r="DQ75" s="248"/>
      <c r="DR75" s="248"/>
      <c r="DS75" s="248"/>
    </row>
    <row r="76" spans="1:123" ht="15.75" customHeight="1">
      <c r="A76" s="243">
        <v>10</v>
      </c>
      <c r="B76" s="248"/>
      <c r="C76" s="248"/>
      <c r="D76" s="248"/>
      <c r="E76" s="248"/>
      <c r="F76" s="252"/>
      <c r="G76" s="253"/>
      <c r="H76" s="254"/>
      <c r="I76" s="235"/>
      <c r="J76" s="248"/>
      <c r="K76" s="248"/>
      <c r="L76" s="248"/>
      <c r="M76" s="248"/>
      <c r="N76" s="248"/>
      <c r="O76" s="248"/>
      <c r="P76" s="248"/>
      <c r="Q76" s="248"/>
      <c r="R76" s="248"/>
      <c r="S76" s="248"/>
      <c r="T76" s="248"/>
      <c r="U76" s="248"/>
      <c r="V76" s="248"/>
      <c r="W76" s="248"/>
      <c r="X76" s="248"/>
      <c r="Y76" s="248"/>
      <c r="Z76" s="248"/>
      <c r="AA76" s="248"/>
      <c r="AB76" s="248"/>
      <c r="AC76" s="248"/>
      <c r="AD76" s="248"/>
      <c r="AE76" s="248"/>
      <c r="AF76" s="248"/>
      <c r="AG76" s="248"/>
      <c r="AH76" s="248"/>
      <c r="AI76" s="248"/>
      <c r="AJ76" s="248"/>
      <c r="AK76" s="248"/>
      <c r="AL76" s="248"/>
      <c r="AM76" s="248"/>
      <c r="AN76" s="248"/>
      <c r="AO76" s="248"/>
      <c r="AP76" s="248"/>
      <c r="AQ76" s="248"/>
      <c r="AR76" s="248"/>
      <c r="AS76" s="248"/>
      <c r="AT76" s="248"/>
      <c r="AU76" s="248"/>
      <c r="AV76" s="248"/>
      <c r="AW76" s="248"/>
      <c r="AX76" s="248"/>
      <c r="AY76" s="248"/>
      <c r="AZ76" s="248"/>
      <c r="BA76" s="248"/>
      <c r="BB76" s="248"/>
      <c r="BC76" s="248"/>
      <c r="BD76" s="248"/>
      <c r="BE76" s="248"/>
      <c r="BF76" s="248"/>
      <c r="BG76" s="248"/>
      <c r="BH76" s="248"/>
      <c r="BI76" s="248"/>
      <c r="BJ76" s="248"/>
      <c r="BK76" s="248"/>
      <c r="BL76" s="248"/>
      <c r="BM76" s="248"/>
      <c r="BN76" s="248"/>
      <c r="BO76" s="248"/>
      <c r="BP76" s="248"/>
      <c r="BQ76" s="248"/>
      <c r="BR76" s="248"/>
      <c r="BS76" s="248"/>
      <c r="BT76" s="248"/>
      <c r="BU76" s="248"/>
      <c r="BV76" s="248"/>
      <c r="BW76" s="248"/>
      <c r="BX76" s="248"/>
      <c r="BY76" s="248"/>
      <c r="BZ76" s="248"/>
      <c r="CA76" s="248"/>
      <c r="CB76" s="248"/>
      <c r="CC76" s="248"/>
      <c r="CD76" s="248"/>
      <c r="CE76" s="248"/>
      <c r="CF76" s="248"/>
      <c r="CG76" s="248"/>
      <c r="CH76" s="248"/>
      <c r="CI76" s="248"/>
      <c r="CJ76" s="248"/>
      <c r="CK76" s="248"/>
      <c r="CL76" s="248"/>
      <c r="CM76" s="248"/>
      <c r="CN76" s="248"/>
      <c r="CO76" s="248"/>
      <c r="CP76" s="248"/>
      <c r="CQ76" s="248"/>
      <c r="CR76" s="248"/>
      <c r="CS76" s="248"/>
      <c r="CT76" s="248"/>
      <c r="CU76" s="248"/>
      <c r="CV76" s="248"/>
      <c r="CW76" s="248"/>
      <c r="CX76" s="248"/>
      <c r="CY76" s="248"/>
      <c r="CZ76" s="248"/>
      <c r="DA76" s="248"/>
      <c r="DB76" s="248"/>
      <c r="DC76" s="248"/>
      <c r="DD76" s="248"/>
      <c r="DE76" s="248"/>
      <c r="DF76" s="248"/>
      <c r="DG76" s="248"/>
      <c r="DH76" s="248"/>
      <c r="DI76" s="248"/>
      <c r="DJ76" s="248"/>
      <c r="DK76" s="248"/>
      <c r="DL76" s="248"/>
      <c r="DM76" s="248"/>
      <c r="DN76" s="248"/>
      <c r="DO76" s="248"/>
      <c r="DP76" s="248"/>
      <c r="DQ76" s="248"/>
      <c r="DR76" s="248"/>
      <c r="DS76" s="248"/>
    </row>
  </sheetData>
  <mergeCells count="1">
    <mergeCell ref="BZ2:CG2"/>
  </mergeCells>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summaryRight="0"/>
  </sheetPr>
  <dimension ref="A1:I29"/>
  <sheetViews>
    <sheetView workbookViewId="0">
      <pane xSplit="3" ySplit="7" topLeftCell="D8" activePane="bottomRight" state="frozen"/>
      <selection activeCell="B53" sqref="B53"/>
      <selection pane="topRight" activeCell="B53" sqref="B53"/>
      <selection pane="bottomLeft" activeCell="B53" sqref="B53"/>
      <selection pane="bottomRight" activeCell="B53" sqref="B53"/>
    </sheetView>
  </sheetViews>
  <sheetFormatPr baseColWidth="10" defaultColWidth="11.1796875" defaultRowHeight="15" customHeight="1"/>
  <cols>
    <col min="1" max="1" width="27.81640625" style="132" customWidth="1"/>
    <col min="2" max="2" width="14.81640625" style="132" customWidth="1"/>
    <col min="3" max="3" width="8.453125" style="132" customWidth="1"/>
    <col min="4" max="4" width="14.81640625" style="132" customWidth="1"/>
    <col min="5" max="5" width="8.453125" style="132" customWidth="1"/>
    <col min="6" max="6" width="14.81640625" style="132" customWidth="1"/>
    <col min="7" max="7" width="8.453125" style="132" customWidth="1"/>
    <col min="8" max="8" width="14.81640625" style="132" customWidth="1"/>
    <col min="9" max="9" width="8.453125" style="132" customWidth="1"/>
    <col min="10" max="16384" width="11.1796875" style="132"/>
  </cols>
  <sheetData>
    <row r="1" spans="1:9" ht="15.6">
      <c r="A1" s="262" t="s">
        <v>146</v>
      </c>
      <c r="B1" s="166"/>
      <c r="C1" s="135"/>
      <c r="D1" s="166"/>
      <c r="E1" s="135"/>
      <c r="F1" s="166"/>
      <c r="G1" s="135"/>
      <c r="H1" s="166"/>
      <c r="I1" s="135"/>
    </row>
    <row r="2" spans="1:9" ht="6" customHeight="1">
      <c r="A2" s="263"/>
      <c r="B2" s="166"/>
      <c r="C2" s="135"/>
      <c r="D2" s="166"/>
      <c r="E2" s="135"/>
      <c r="F2" s="166"/>
      <c r="G2" s="135"/>
      <c r="H2" s="166"/>
      <c r="I2" s="135"/>
    </row>
    <row r="3" spans="1:9" ht="15.6">
      <c r="A3" s="264" t="s">
        <v>147</v>
      </c>
      <c r="B3" s="265"/>
      <c r="C3" s="266"/>
      <c r="D3" s="166"/>
      <c r="E3" s="135"/>
      <c r="F3" s="166"/>
      <c r="G3" s="135"/>
      <c r="H3" s="166"/>
      <c r="I3" s="135"/>
    </row>
    <row r="4" spans="1:9" ht="15.6">
      <c r="A4" s="132" t="s">
        <v>148</v>
      </c>
      <c r="B4" s="267">
        <f>'Immobilie als Kapitalanlage'!C4</f>
        <v>33756</v>
      </c>
      <c r="C4" s="135">
        <f ca="1">DATEDIF(B4,TODAY(),"Y")</f>
        <v>33</v>
      </c>
      <c r="D4" s="267"/>
      <c r="E4" s="135"/>
      <c r="F4" s="267"/>
      <c r="G4" s="135"/>
      <c r="H4" s="267"/>
      <c r="I4" s="135"/>
    </row>
    <row r="5" spans="1:9" ht="15.6">
      <c r="A5" s="132" t="s">
        <v>149</v>
      </c>
      <c r="B5" s="267">
        <f>DATE(YEAR($B$4)+67,MONTH($B$4),DAY($B$4))</f>
        <v>58227</v>
      </c>
      <c r="C5" s="135">
        <f t="shared" ref="C5:C6" ca="1" si="0">DATEDIF(TODAY(),B5,"Y")</f>
        <v>33</v>
      </c>
      <c r="D5" s="267"/>
      <c r="E5" s="135"/>
      <c r="F5" s="267"/>
      <c r="G5" s="135"/>
      <c r="H5" s="267"/>
      <c r="I5" s="135"/>
    </row>
    <row r="6" spans="1:9" ht="15.6">
      <c r="A6" s="132" t="s">
        <v>150</v>
      </c>
      <c r="B6" s="267">
        <f>DATE(YEAR($B$4)+75,MONTH($B$4),DAY($B$4))</f>
        <v>61149</v>
      </c>
      <c r="C6" s="135">
        <f t="shared" ca="1" si="0"/>
        <v>41</v>
      </c>
      <c r="D6" s="267"/>
      <c r="E6" s="135"/>
      <c r="F6" s="267"/>
      <c r="G6" s="135"/>
      <c r="H6" s="267"/>
      <c r="I6" s="135"/>
    </row>
    <row r="7" spans="1:9" ht="15.6">
      <c r="A7" s="132" t="s">
        <v>151</v>
      </c>
      <c r="B7" s="150">
        <f>'Immobilie als Kapitalanlage'!G95</f>
        <v>0</v>
      </c>
      <c r="C7" s="135"/>
      <c r="D7" s="150"/>
      <c r="E7" s="135"/>
      <c r="F7" s="150"/>
      <c r="G7" s="135"/>
      <c r="H7" s="150"/>
      <c r="I7" s="135"/>
    </row>
    <row r="8" spans="1:9" ht="15.6">
      <c r="A8" s="264" t="s">
        <v>152</v>
      </c>
      <c r="B8" s="265"/>
      <c r="C8" s="266"/>
      <c r="D8" s="444" t="s">
        <v>153</v>
      </c>
      <c r="E8" s="445"/>
      <c r="F8" s="448" t="s">
        <v>154</v>
      </c>
      <c r="G8" s="445"/>
      <c r="H8" s="444" t="s">
        <v>155</v>
      </c>
      <c r="I8" s="446"/>
    </row>
    <row r="9" spans="1:9" ht="15.6">
      <c r="A9" s="132" t="s">
        <v>156</v>
      </c>
      <c r="B9" s="150"/>
      <c r="C9" s="135"/>
      <c r="D9" s="268">
        <f>D10*E9</f>
        <v>249000</v>
      </c>
      <c r="E9" s="269">
        <v>1</v>
      </c>
      <c r="F9" s="268">
        <f>F10*G9</f>
        <v>249000</v>
      </c>
      <c r="G9" s="269">
        <v>1</v>
      </c>
      <c r="H9" s="268">
        <f>H10*I9</f>
        <v>124500</v>
      </c>
      <c r="I9" s="269">
        <v>0.5</v>
      </c>
    </row>
    <row r="10" spans="1:9" ht="15.6">
      <c r="A10" s="132" t="s">
        <v>157</v>
      </c>
      <c r="B10" s="150">
        <f>'Immobilie als Kapitalanlage'!C25</f>
        <v>249000</v>
      </c>
      <c r="C10" s="135"/>
      <c r="D10" s="268">
        <f t="shared" ref="D10:E10" si="1">B10</f>
        <v>249000</v>
      </c>
      <c r="E10" s="270">
        <f t="shared" si="1"/>
        <v>0</v>
      </c>
      <c r="F10" s="150">
        <f t="shared" ref="F10:G10" si="2">B10</f>
        <v>249000</v>
      </c>
      <c r="G10" s="270">
        <f t="shared" si="2"/>
        <v>0</v>
      </c>
      <c r="H10" s="268">
        <f t="shared" ref="H10:I10" si="3">B10</f>
        <v>249000</v>
      </c>
      <c r="I10" s="270">
        <f t="shared" si="3"/>
        <v>0</v>
      </c>
    </row>
    <row r="11" spans="1:9" ht="15.6">
      <c r="A11" s="132" t="s">
        <v>61</v>
      </c>
      <c r="B11" s="150">
        <f t="shared" ref="B11:B12" si="4">C11*$B$10/12</f>
        <v>726.25</v>
      </c>
      <c r="C11" s="151">
        <f>'Immobilie als Kapitalanlage'!D26</f>
        <v>3.5000000000000003E-2</v>
      </c>
      <c r="D11" s="268">
        <f>E11*D10/12</f>
        <v>726.25</v>
      </c>
      <c r="E11" s="269">
        <f t="shared" ref="E11:E12" si="5">C11</f>
        <v>3.5000000000000003E-2</v>
      </c>
      <c r="F11" s="268">
        <f>G11*F10/12</f>
        <v>726.25</v>
      </c>
      <c r="G11" s="269">
        <f t="shared" ref="G11:G12" si="6">C11</f>
        <v>3.5000000000000003E-2</v>
      </c>
      <c r="H11" s="268">
        <f>I11*H10/12</f>
        <v>726.25</v>
      </c>
      <c r="I11" s="269">
        <f>C11</f>
        <v>3.5000000000000003E-2</v>
      </c>
    </row>
    <row r="12" spans="1:9" ht="15.6">
      <c r="A12" s="133" t="s">
        <v>62</v>
      </c>
      <c r="B12" s="271">
        <f t="shared" si="4"/>
        <v>311.25</v>
      </c>
      <c r="C12" s="272">
        <f>'Immobilie als Kapitalanlage'!D36</f>
        <v>1.4999999999999999E-2</v>
      </c>
      <c r="D12" s="273">
        <f>E12*D9/12</f>
        <v>311.25</v>
      </c>
      <c r="E12" s="274">
        <f t="shared" si="5"/>
        <v>1.4999999999999999E-2</v>
      </c>
      <c r="F12" s="273">
        <f>G12*F9/12</f>
        <v>311.25</v>
      </c>
      <c r="G12" s="274">
        <f t="shared" si="6"/>
        <v>1.4999999999999999E-2</v>
      </c>
      <c r="H12" s="273">
        <f>I12*H9/12</f>
        <v>207.5</v>
      </c>
      <c r="I12" s="274">
        <v>0.02</v>
      </c>
    </row>
    <row r="13" spans="1:9" ht="15.6">
      <c r="A13" s="132" t="s">
        <v>158</v>
      </c>
      <c r="B13" s="150">
        <f ca="1">ROUNDUP(IF(FV(C11/12,(C5)*12,B11+B12,(-B10))&gt;=0,FV(C11/12,(C5)*12,B11+B12,(-B10)),0),-3)</f>
        <v>18000</v>
      </c>
      <c r="C13" s="151"/>
      <c r="D13" s="268">
        <f t="shared" ref="D13:E13" ca="1" si="7">B13</f>
        <v>18000</v>
      </c>
      <c r="E13" s="269">
        <f t="shared" si="7"/>
        <v>0</v>
      </c>
      <c r="F13" s="150">
        <f t="shared" ref="F13:G13" ca="1" si="8">B13</f>
        <v>18000</v>
      </c>
      <c r="G13" s="269">
        <f t="shared" si="8"/>
        <v>0</v>
      </c>
      <c r="H13" s="268">
        <f t="shared" ref="H13:I13" ca="1" si="9">B13</f>
        <v>18000</v>
      </c>
      <c r="I13" s="269">
        <f t="shared" si="9"/>
        <v>0</v>
      </c>
    </row>
    <row r="14" spans="1:9" ht="15.6">
      <c r="A14" s="132" t="s">
        <v>159</v>
      </c>
      <c r="B14" s="150">
        <f ca="1">ROUNDUP(IF(FV(C11/12,(C6)*12,B11+B12,(-B10))&gt;=0,FV(C11/12,(C6)*12,B11+B12,(-B10)),0),-3)</f>
        <v>0</v>
      </c>
      <c r="C14" s="151"/>
      <c r="D14" s="268">
        <f t="shared" ref="D14:E14" ca="1" si="10">B14</f>
        <v>0</v>
      </c>
      <c r="E14" s="269">
        <f t="shared" si="10"/>
        <v>0</v>
      </c>
      <c r="F14" s="150">
        <f t="shared" ref="F14:G14" ca="1" si="11">B14</f>
        <v>0</v>
      </c>
      <c r="G14" s="269">
        <f t="shared" si="11"/>
        <v>0</v>
      </c>
      <c r="H14" s="268">
        <f t="shared" ref="H14:I14" ca="1" si="12">B14</f>
        <v>0</v>
      </c>
      <c r="I14" s="269">
        <f t="shared" si="12"/>
        <v>0</v>
      </c>
    </row>
    <row r="15" spans="1:9" ht="15.6">
      <c r="A15" s="264" t="s">
        <v>39</v>
      </c>
      <c r="B15" s="265"/>
      <c r="C15" s="266"/>
      <c r="D15" s="444" t="str">
        <f>D8</f>
        <v>VoBa Neckartal</v>
      </c>
      <c r="E15" s="445"/>
      <c r="F15" s="444" t="str">
        <f>F8</f>
        <v>VoBa Kurpfalz</v>
      </c>
      <c r="G15" s="445"/>
      <c r="H15" s="444" t="str">
        <f>H8</f>
        <v>COMMERZBANK</v>
      </c>
      <c r="I15" s="446"/>
    </row>
    <row r="16" spans="1:9" ht="15.6">
      <c r="A16" s="132" t="s">
        <v>160</v>
      </c>
      <c r="D16" s="275"/>
      <c r="E16" s="276">
        <v>0.02</v>
      </c>
      <c r="F16" s="156"/>
      <c r="G16" s="276">
        <v>2.5000000000000001E-2</v>
      </c>
      <c r="H16" s="156"/>
      <c r="I16" s="277"/>
    </row>
    <row r="17" spans="1:9" ht="15.6">
      <c r="A17" s="132" t="s">
        <v>161</v>
      </c>
      <c r="D17" s="275"/>
      <c r="E17" s="278"/>
      <c r="F17" s="156">
        <v>0.6</v>
      </c>
      <c r="G17" s="278"/>
      <c r="H17" s="275"/>
      <c r="I17" s="278"/>
    </row>
    <row r="18" spans="1:9" ht="15.6">
      <c r="A18" s="132" t="s">
        <v>162</v>
      </c>
      <c r="D18" s="275"/>
      <c r="E18" s="278"/>
      <c r="F18" s="134"/>
      <c r="G18" s="278"/>
      <c r="H18" s="178"/>
      <c r="I18" s="276">
        <v>0.03</v>
      </c>
    </row>
    <row r="19" spans="1:9" ht="15.6">
      <c r="A19" s="132" t="s">
        <v>163</v>
      </c>
      <c r="B19" s="133"/>
      <c r="C19" s="133"/>
      <c r="D19" s="279"/>
      <c r="E19" s="280">
        <v>0.15</v>
      </c>
      <c r="F19" s="281"/>
      <c r="G19" s="282"/>
      <c r="H19" s="281"/>
      <c r="I19" s="282"/>
    </row>
    <row r="20" spans="1:9" ht="15.6">
      <c r="A20" s="133" t="s">
        <v>164</v>
      </c>
      <c r="B20" s="133"/>
      <c r="C20" s="133"/>
      <c r="D20" s="279">
        <v>0</v>
      </c>
      <c r="E20" s="282">
        <f t="shared" ref="E20:E21" si="13">D20*12/$B$10</f>
        <v>0</v>
      </c>
      <c r="F20" s="281">
        <v>174</v>
      </c>
      <c r="G20" s="282">
        <f>F20*12/$B$10</f>
        <v>8.3855421686746985E-3</v>
      </c>
      <c r="H20" s="281">
        <v>195</v>
      </c>
      <c r="I20" s="282">
        <f>H20*12/$B$10</f>
        <v>9.3975903614457838E-3</v>
      </c>
    </row>
    <row r="21" spans="1:9" ht="15.75" customHeight="1">
      <c r="A21" s="132" t="s">
        <v>165</v>
      </c>
      <c r="D21" s="283">
        <v>0</v>
      </c>
      <c r="E21" s="276">
        <f t="shared" si="13"/>
        <v>0</v>
      </c>
      <c r="F21" s="134"/>
      <c r="G21" s="278"/>
      <c r="H21" s="134"/>
      <c r="I21" s="278"/>
    </row>
    <row r="22" spans="1:9" ht="15.75" customHeight="1">
      <c r="A22" s="264" t="s">
        <v>166</v>
      </c>
      <c r="B22" s="284"/>
      <c r="C22" s="284"/>
      <c r="D22" s="444"/>
      <c r="E22" s="445"/>
      <c r="F22" s="444"/>
      <c r="G22" s="445"/>
      <c r="H22" s="444"/>
      <c r="I22" s="446"/>
    </row>
    <row r="23" spans="1:9" ht="15.75" customHeight="1">
      <c r="A23" s="132" t="s">
        <v>61</v>
      </c>
      <c r="D23" s="150">
        <f t="shared" ref="D23:I23" si="14">D11</f>
        <v>726.25</v>
      </c>
      <c r="E23" s="151">
        <f t="shared" si="14"/>
        <v>3.5000000000000003E-2</v>
      </c>
      <c r="F23" s="268">
        <f t="shared" si="14"/>
        <v>726.25</v>
      </c>
      <c r="G23" s="269">
        <f t="shared" si="14"/>
        <v>3.5000000000000003E-2</v>
      </c>
      <c r="H23" s="150">
        <f t="shared" si="14"/>
        <v>726.25</v>
      </c>
      <c r="I23" s="269">
        <f t="shared" si="14"/>
        <v>3.5000000000000003E-2</v>
      </c>
    </row>
    <row r="24" spans="1:9" ht="15.75" customHeight="1">
      <c r="A24" s="132" t="s">
        <v>62</v>
      </c>
      <c r="D24" s="150">
        <f t="shared" ref="D24:I24" si="15">D12</f>
        <v>311.25</v>
      </c>
      <c r="E24" s="151">
        <f t="shared" si="15"/>
        <v>1.4999999999999999E-2</v>
      </c>
      <c r="F24" s="268">
        <f t="shared" si="15"/>
        <v>311.25</v>
      </c>
      <c r="G24" s="269">
        <f t="shared" si="15"/>
        <v>1.4999999999999999E-2</v>
      </c>
      <c r="H24" s="150">
        <f t="shared" si="15"/>
        <v>207.5</v>
      </c>
      <c r="I24" s="269">
        <f t="shared" si="15"/>
        <v>0.02</v>
      </c>
    </row>
    <row r="25" spans="1:9" ht="15.75" customHeight="1">
      <c r="A25" s="132" t="s">
        <v>39</v>
      </c>
      <c r="B25" s="285"/>
      <c r="C25" s="285"/>
      <c r="D25" s="150">
        <f t="shared" ref="D25:I25" si="16">D20</f>
        <v>0</v>
      </c>
      <c r="E25" s="151">
        <f t="shared" si="16"/>
        <v>0</v>
      </c>
      <c r="F25" s="268">
        <f t="shared" si="16"/>
        <v>174</v>
      </c>
      <c r="G25" s="269">
        <f t="shared" si="16"/>
        <v>8.3855421686746985E-3</v>
      </c>
      <c r="H25" s="150">
        <f t="shared" si="16"/>
        <v>195</v>
      </c>
      <c r="I25" s="269">
        <f t="shared" si="16"/>
        <v>9.3975903614457838E-3</v>
      </c>
    </row>
    <row r="26" spans="1:9" ht="15.75" customHeight="1">
      <c r="A26" s="132" t="s">
        <v>167</v>
      </c>
      <c r="B26" s="285"/>
      <c r="C26" s="285"/>
      <c r="D26" s="271">
        <f>D24+D25</f>
        <v>311.25</v>
      </c>
      <c r="E26" s="274">
        <f>D26*12/D10</f>
        <v>1.4999999999999999E-2</v>
      </c>
      <c r="F26" s="273">
        <f>F24+F25</f>
        <v>485.25</v>
      </c>
      <c r="G26" s="274">
        <f>F26*12/F10</f>
        <v>2.3385542168674698E-2</v>
      </c>
      <c r="H26" s="271">
        <f>H24+H25</f>
        <v>402.5</v>
      </c>
      <c r="I26" s="274">
        <f>H26*12/H10</f>
        <v>1.9397590361445782E-2</v>
      </c>
    </row>
    <row r="27" spans="1:9" ht="15.75" customHeight="1">
      <c r="A27" s="285"/>
      <c r="B27" s="285"/>
      <c r="C27" s="285"/>
      <c r="D27" s="150"/>
      <c r="E27" s="151"/>
      <c r="F27" s="286"/>
      <c r="G27" s="287"/>
      <c r="H27" s="286"/>
      <c r="I27" s="287"/>
    </row>
    <row r="28" spans="1:9" ht="15.75" customHeight="1">
      <c r="A28" s="447" t="s">
        <v>168</v>
      </c>
      <c r="B28" s="443"/>
      <c r="C28" s="443"/>
      <c r="D28" s="150"/>
      <c r="E28" s="151"/>
      <c r="F28" s="286"/>
      <c r="G28" s="287"/>
      <c r="H28" s="286"/>
      <c r="I28" s="287"/>
    </row>
    <row r="29" spans="1:9" ht="15.75" customHeight="1">
      <c r="A29" s="443"/>
      <c r="B29" s="443"/>
      <c r="C29" s="443"/>
      <c r="D29" s="150"/>
      <c r="E29" s="151"/>
      <c r="F29" s="286"/>
      <c r="G29" s="287"/>
      <c r="H29" s="286"/>
      <c r="I29" s="287"/>
    </row>
  </sheetData>
  <mergeCells count="10">
    <mergeCell ref="F22:G22"/>
    <mergeCell ref="H22:I22"/>
    <mergeCell ref="A28:C29"/>
    <mergeCell ref="D8:E8"/>
    <mergeCell ref="F8:G8"/>
    <mergeCell ref="H8:I8"/>
    <mergeCell ref="D15:E15"/>
    <mergeCell ref="F15:G15"/>
    <mergeCell ref="H15:I15"/>
    <mergeCell ref="D22:E22"/>
  </mergeCells>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outlinePr summaryBelow="0" summaryRight="0"/>
  </sheetPr>
  <dimension ref="A1:C29"/>
  <sheetViews>
    <sheetView workbookViewId="0">
      <selection activeCell="B53" sqref="B53"/>
    </sheetView>
  </sheetViews>
  <sheetFormatPr baseColWidth="10" defaultColWidth="11.1796875" defaultRowHeight="15" customHeight="1"/>
  <cols>
    <col min="1" max="1" width="45.08984375" customWidth="1"/>
    <col min="2" max="2" width="11.1796875" customWidth="1"/>
    <col min="3" max="3" width="6" customWidth="1"/>
    <col min="4" max="6" width="11.1796875" customWidth="1"/>
  </cols>
  <sheetData>
    <row r="1" spans="1:3" ht="15.6">
      <c r="A1" s="124" t="s">
        <v>146</v>
      </c>
      <c r="B1" s="125"/>
      <c r="C1" s="127"/>
    </row>
    <row r="2" spans="1:3" ht="6" customHeight="1">
      <c r="A2" s="126"/>
      <c r="B2" s="125"/>
      <c r="C2" s="127"/>
    </row>
    <row r="3" spans="1:3" ht="15.6">
      <c r="A3" s="130" t="s">
        <v>77</v>
      </c>
      <c r="B3" s="131"/>
      <c r="C3" s="127"/>
    </row>
    <row r="4" spans="1:3" ht="15.6">
      <c r="A4" s="127" t="s">
        <v>169</v>
      </c>
      <c r="B4" s="128">
        <v>30</v>
      </c>
      <c r="C4" s="127"/>
    </row>
    <row r="5" spans="1:3" ht="15.6">
      <c r="A5" s="127" t="s">
        <v>86</v>
      </c>
      <c r="B5" s="128">
        <v>0</v>
      </c>
      <c r="C5" s="127"/>
    </row>
    <row r="6" spans="1:3" ht="15.6">
      <c r="A6" s="127" t="s">
        <v>170</v>
      </c>
      <c r="B6" s="128">
        <v>0</v>
      </c>
      <c r="C6" s="127"/>
    </row>
    <row r="7" spans="1:3" ht="15.6">
      <c r="A7" s="127" t="s">
        <v>171</v>
      </c>
      <c r="B7" s="128">
        <v>0</v>
      </c>
      <c r="C7" s="127"/>
    </row>
    <row r="8" spans="1:3" ht="15.6">
      <c r="A8" s="130" t="s">
        <v>78</v>
      </c>
      <c r="B8" s="131"/>
      <c r="C8" s="127"/>
    </row>
    <row r="9" spans="1:3" ht="15.6">
      <c r="A9" s="127" t="s">
        <v>169</v>
      </c>
      <c r="B9" s="128">
        <v>30</v>
      </c>
      <c r="C9" s="127"/>
    </row>
    <row r="10" spans="1:3" ht="15.6">
      <c r="A10" s="127" t="s">
        <v>86</v>
      </c>
      <c r="B10" s="128">
        <v>0</v>
      </c>
      <c r="C10" s="127"/>
    </row>
    <row r="11" spans="1:3" ht="15.6">
      <c r="A11" s="127" t="s">
        <v>170</v>
      </c>
      <c r="B11" s="128">
        <v>0</v>
      </c>
      <c r="C11" s="127"/>
    </row>
    <row r="12" spans="1:3" ht="15.6">
      <c r="A12" s="127" t="s">
        <v>171</v>
      </c>
      <c r="B12" s="128">
        <v>0</v>
      </c>
      <c r="C12" s="127"/>
    </row>
    <row r="13" spans="1:3" ht="15.6">
      <c r="A13" s="130" t="s">
        <v>80</v>
      </c>
      <c r="B13" s="131"/>
      <c r="C13" s="127"/>
    </row>
    <row r="14" spans="1:3" ht="15.6">
      <c r="A14" s="127" t="s">
        <v>172</v>
      </c>
      <c r="B14" s="128">
        <v>1</v>
      </c>
      <c r="C14" s="127" t="s">
        <v>173</v>
      </c>
    </row>
    <row r="15" spans="1:3" ht="15.6">
      <c r="A15" s="127" t="s">
        <v>86</v>
      </c>
      <c r="B15" s="128">
        <v>0</v>
      </c>
      <c r="C15" s="127"/>
    </row>
    <row r="16" spans="1:3" ht="15.6">
      <c r="A16" s="127" t="s">
        <v>170</v>
      </c>
      <c r="B16" s="128">
        <v>0</v>
      </c>
      <c r="C16" s="127"/>
    </row>
    <row r="17" spans="1:3" ht="15.6">
      <c r="A17" s="127" t="s">
        <v>171</v>
      </c>
      <c r="B17" s="128">
        <v>0</v>
      </c>
      <c r="C17" s="127"/>
    </row>
    <row r="18" spans="1:3" ht="15.6">
      <c r="A18" s="130" t="s">
        <v>174</v>
      </c>
      <c r="B18" s="131"/>
      <c r="C18" s="127"/>
    </row>
    <row r="19" spans="1:3" ht="15.6">
      <c r="A19" s="127" t="s">
        <v>169</v>
      </c>
      <c r="B19" s="128">
        <v>0</v>
      </c>
      <c r="C19" s="127" t="s">
        <v>173</v>
      </c>
    </row>
    <row r="20" spans="1:3" ht="15.6">
      <c r="A20" s="127" t="s">
        <v>86</v>
      </c>
      <c r="B20" s="128">
        <v>0</v>
      </c>
      <c r="C20" s="127"/>
    </row>
    <row r="21" spans="1:3" ht="15.75" customHeight="1">
      <c r="A21" s="127" t="s">
        <v>170</v>
      </c>
      <c r="B21" s="128">
        <v>0</v>
      </c>
      <c r="C21" s="127"/>
    </row>
    <row r="22" spans="1:3" ht="15.75" customHeight="1">
      <c r="A22" s="127" t="s">
        <v>171</v>
      </c>
      <c r="B22" s="128">
        <v>30</v>
      </c>
      <c r="C22" s="127"/>
    </row>
    <row r="23" spans="1:3" ht="15.75" customHeight="1">
      <c r="A23" s="130" t="s">
        <v>175</v>
      </c>
      <c r="B23" s="131"/>
      <c r="C23" s="127"/>
    </row>
    <row r="24" spans="1:3" ht="15.75" customHeight="1">
      <c r="A24" s="127" t="s">
        <v>176</v>
      </c>
      <c r="B24" s="128">
        <v>0</v>
      </c>
      <c r="C24" s="127"/>
    </row>
    <row r="25" spans="1:3" ht="15.75" customHeight="1">
      <c r="A25" s="127" t="s">
        <v>177</v>
      </c>
      <c r="B25" s="129">
        <v>0</v>
      </c>
      <c r="C25" s="127"/>
    </row>
    <row r="26" spans="1:3" ht="15.75" customHeight="1">
      <c r="A26" s="1" t="s">
        <v>178</v>
      </c>
      <c r="B26" s="131"/>
      <c r="C26" s="127"/>
    </row>
    <row r="27" spans="1:3" ht="15.75" customHeight="1">
      <c r="A27" s="127" t="s">
        <v>179</v>
      </c>
      <c r="B27" s="128">
        <v>0</v>
      </c>
      <c r="C27" s="127" t="s">
        <v>173</v>
      </c>
    </row>
    <row r="28" spans="1:3" ht="15.75" customHeight="1">
      <c r="A28" s="127" t="s">
        <v>86</v>
      </c>
      <c r="B28" s="128">
        <v>0</v>
      </c>
      <c r="C28" s="127"/>
    </row>
    <row r="29" spans="1:3" ht="15.75" customHeight="1">
      <c r="A29" s="127" t="s">
        <v>170</v>
      </c>
      <c r="B29" s="128">
        <v>0</v>
      </c>
      <c r="C29" s="127"/>
    </row>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Arbeitsblätter</vt:lpstr>
      </vt:variant>
      <vt:variant>
        <vt:i4>9</vt:i4>
      </vt:variant>
      <vt:variant>
        <vt:lpstr>Benannte Bereiche</vt:lpstr>
      </vt:variant>
      <vt:variant>
        <vt:i4>1</vt:i4>
      </vt:variant>
    </vt:vector>
  </HeadingPairs>
  <TitlesOfParts>
    <vt:vector size="10" baseType="lpstr">
      <vt:lpstr>Immobilie als Kapitalanlage</vt:lpstr>
      <vt:lpstr>Parameter</vt:lpstr>
      <vt:lpstr>Überblick</vt:lpstr>
      <vt:lpstr>CF-Berechnung</vt:lpstr>
      <vt:lpstr>Rendite</vt:lpstr>
      <vt:lpstr>Steuern</vt:lpstr>
      <vt:lpstr>Cashflow Details</vt:lpstr>
      <vt:lpstr>Tabelle 1</vt:lpstr>
      <vt:lpstr>Tabelle 2</vt:lpstr>
      <vt:lpstr>kaufpreis_wohnung</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Thorsten Illig-Martin</cp:lastModifiedBy>
  <dcterms:created xsi:type="dcterms:W3CDTF">2024-09-17T14:00:03Z</dcterms:created>
  <dcterms:modified xsi:type="dcterms:W3CDTF">2025-09-04T16:29:20Z</dcterms:modified>
</cp:coreProperties>
</file>